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activeTab="1"/>
  </bookViews>
  <sheets>
    <sheet name="รายรับจริงไตรมาส 1" sheetId="1" r:id="rId1"/>
    <sheet name="รายจ่ายไตรมาส 1" sheetId="2" r:id="rId2"/>
  </sheets>
  <calcPr calcId="144525"/>
</workbook>
</file>

<file path=xl/calcChain.xml><?xml version="1.0" encoding="utf-8"?>
<calcChain xmlns="http://schemas.openxmlformats.org/spreadsheetml/2006/main">
  <c r="F225" i="2" l="1"/>
  <c r="E225" i="2"/>
  <c r="H224" i="2"/>
  <c r="H225" i="2" s="1"/>
  <c r="G224" i="2"/>
  <c r="G225" i="2" s="1"/>
  <c r="F224" i="2"/>
  <c r="E224" i="2"/>
  <c r="I223" i="2"/>
  <c r="J223" i="2" s="1"/>
  <c r="I222" i="2"/>
  <c r="J222" i="2" s="1"/>
  <c r="I221" i="2"/>
  <c r="J221" i="2" s="1"/>
  <c r="I220" i="2"/>
  <c r="J220" i="2" s="1"/>
  <c r="I219" i="2"/>
  <c r="H218" i="2"/>
  <c r="G218" i="2"/>
  <c r="J217" i="2"/>
  <c r="I217" i="2"/>
  <c r="H217" i="2"/>
  <c r="G217" i="2"/>
  <c r="F217" i="2"/>
  <c r="E217" i="2"/>
  <c r="J216" i="2"/>
  <c r="I215" i="2"/>
  <c r="I218" i="2" s="1"/>
  <c r="H215" i="2"/>
  <c r="G215" i="2"/>
  <c r="F215" i="2"/>
  <c r="F218" i="2" s="1"/>
  <c r="E215" i="2"/>
  <c r="E218" i="2" s="1"/>
  <c r="J214" i="2"/>
  <c r="J215" i="2" s="1"/>
  <c r="J218" i="2" s="1"/>
  <c r="J213" i="2"/>
  <c r="H212" i="2"/>
  <c r="E212" i="2"/>
  <c r="H211" i="2"/>
  <c r="G211" i="2"/>
  <c r="F211" i="2"/>
  <c r="E211" i="2"/>
  <c r="I210" i="2"/>
  <c r="H207" i="2"/>
  <c r="G207" i="2"/>
  <c r="F207" i="2"/>
  <c r="F212" i="2" s="1"/>
  <c r="E207" i="2"/>
  <c r="J206" i="2"/>
  <c r="I205" i="2"/>
  <c r="J205" i="2" s="1"/>
  <c r="J207" i="2" s="1"/>
  <c r="J204" i="2"/>
  <c r="I203" i="2"/>
  <c r="J203" i="2" s="1"/>
  <c r="J202" i="2"/>
  <c r="I202" i="2"/>
  <c r="I207" i="2" s="1"/>
  <c r="I201" i="2"/>
  <c r="H201" i="2"/>
  <c r="E201" i="2"/>
  <c r="J200" i="2"/>
  <c r="I200" i="2"/>
  <c r="H200" i="2"/>
  <c r="G200" i="2"/>
  <c r="F200" i="2"/>
  <c r="E200" i="2"/>
  <c r="J199" i="2"/>
  <c r="J198" i="2"/>
  <c r="I197" i="2"/>
  <c r="H197" i="2"/>
  <c r="G197" i="2"/>
  <c r="G201" i="2" s="1"/>
  <c r="F197" i="2"/>
  <c r="F201" i="2" s="1"/>
  <c r="E197" i="2"/>
  <c r="J196" i="2"/>
  <c r="J195" i="2"/>
  <c r="J193" i="2"/>
  <c r="J197" i="2" s="1"/>
  <c r="J201" i="2" s="1"/>
  <c r="J192" i="2"/>
  <c r="J191" i="2"/>
  <c r="J190" i="2"/>
  <c r="G189" i="2"/>
  <c r="F189" i="2"/>
  <c r="I188" i="2"/>
  <c r="I189" i="2" s="1"/>
  <c r="H188" i="2"/>
  <c r="H189" i="2" s="1"/>
  <c r="G188" i="2"/>
  <c r="F188" i="2"/>
  <c r="E188" i="2"/>
  <c r="E189" i="2" s="1"/>
  <c r="J187" i="2"/>
  <c r="J186" i="2"/>
  <c r="J185" i="2"/>
  <c r="J184" i="2"/>
  <c r="J182" i="2"/>
  <c r="J188" i="2" s="1"/>
  <c r="J189" i="2" s="1"/>
  <c r="J181" i="2"/>
  <c r="H180" i="2"/>
  <c r="J179" i="2"/>
  <c r="I179" i="2"/>
  <c r="H179" i="2"/>
  <c r="G179" i="2"/>
  <c r="F179" i="2"/>
  <c r="E179" i="2"/>
  <c r="J178" i="2"/>
  <c r="J177" i="2"/>
  <c r="I177" i="2"/>
  <c r="I180" i="2" s="1"/>
  <c r="H177" i="2"/>
  <c r="G177" i="2"/>
  <c r="F177" i="2"/>
  <c r="E177" i="2"/>
  <c r="E180" i="2" s="1"/>
  <c r="J176" i="2"/>
  <c r="E175" i="2"/>
  <c r="G174" i="2"/>
  <c r="F174" i="2"/>
  <c r="E174" i="2"/>
  <c r="H173" i="2"/>
  <c r="H174" i="2" s="1"/>
  <c r="J172" i="2"/>
  <c r="J171" i="2"/>
  <c r="J170" i="2"/>
  <c r="J169" i="2"/>
  <c r="J167" i="2"/>
  <c r="J166" i="2"/>
  <c r="J165" i="2"/>
  <c r="G164" i="2"/>
  <c r="F164" i="2"/>
  <c r="E164" i="2"/>
  <c r="J163" i="2"/>
  <c r="I162" i="2"/>
  <c r="J162" i="2" s="1"/>
  <c r="H162" i="2"/>
  <c r="I161" i="2"/>
  <c r="J161" i="2" s="1"/>
  <c r="H160" i="2"/>
  <c r="I160" i="2" s="1"/>
  <c r="I164" i="2" s="1"/>
  <c r="J159" i="2"/>
  <c r="J158" i="2"/>
  <c r="H157" i="2"/>
  <c r="G157" i="2"/>
  <c r="F157" i="2"/>
  <c r="E157" i="2"/>
  <c r="I156" i="2"/>
  <c r="J156" i="2" s="1"/>
  <c r="H155" i="2"/>
  <c r="I155" i="2" s="1"/>
  <c r="H151" i="2"/>
  <c r="G151" i="2"/>
  <c r="F151" i="2"/>
  <c r="E151" i="2"/>
  <c r="J150" i="2"/>
  <c r="J149" i="2"/>
  <c r="I149" i="2"/>
  <c r="I151" i="2" s="1"/>
  <c r="J148" i="2"/>
  <c r="J147" i="2"/>
  <c r="J151" i="2" s="1"/>
  <c r="H146" i="2"/>
  <c r="G146" i="2"/>
  <c r="F146" i="2"/>
  <c r="F175" i="2" s="1"/>
  <c r="E146" i="2"/>
  <c r="I145" i="2"/>
  <c r="J145" i="2" s="1"/>
  <c r="I144" i="2"/>
  <c r="J144" i="2" s="1"/>
  <c r="I143" i="2"/>
  <c r="J143" i="2" s="1"/>
  <c r="I142" i="2"/>
  <c r="I146" i="2" s="1"/>
  <c r="J140" i="2"/>
  <c r="I140" i="2"/>
  <c r="H140" i="2"/>
  <c r="G140" i="2"/>
  <c r="F140" i="2"/>
  <c r="E140" i="2"/>
  <c r="J139" i="2"/>
  <c r="J136" i="2"/>
  <c r="I136" i="2"/>
  <c r="I141" i="2" s="1"/>
  <c r="H136" i="2"/>
  <c r="G136" i="2"/>
  <c r="F136" i="2"/>
  <c r="E136" i="2"/>
  <c r="E141" i="2" s="1"/>
  <c r="J135" i="2"/>
  <c r="I134" i="2"/>
  <c r="H134" i="2"/>
  <c r="H141" i="2" s="1"/>
  <c r="G134" i="2"/>
  <c r="G141" i="2" s="1"/>
  <c r="F134" i="2"/>
  <c r="E134" i="2"/>
  <c r="J133" i="2"/>
  <c r="J132" i="2"/>
  <c r="J134" i="2" s="1"/>
  <c r="J141" i="2" s="1"/>
  <c r="H131" i="2"/>
  <c r="H130" i="2"/>
  <c r="G130" i="2"/>
  <c r="F130" i="2"/>
  <c r="E130" i="2"/>
  <c r="I129" i="2"/>
  <c r="J129" i="2" s="1"/>
  <c r="J130" i="2" s="1"/>
  <c r="J128" i="2"/>
  <c r="H128" i="2"/>
  <c r="G128" i="2"/>
  <c r="G131" i="2" s="1"/>
  <c r="F128" i="2"/>
  <c r="E128" i="2"/>
  <c r="I127" i="2"/>
  <c r="J127" i="2" s="1"/>
  <c r="I126" i="2"/>
  <c r="H126" i="2"/>
  <c r="G126" i="2"/>
  <c r="F126" i="2"/>
  <c r="E126" i="2"/>
  <c r="E131" i="2" s="1"/>
  <c r="I125" i="2"/>
  <c r="J125" i="2" s="1"/>
  <c r="I124" i="2"/>
  <c r="J124" i="2" s="1"/>
  <c r="J126" i="2" s="1"/>
  <c r="J131" i="2" s="1"/>
  <c r="I121" i="2"/>
  <c r="H121" i="2"/>
  <c r="G121" i="2"/>
  <c r="F121" i="2"/>
  <c r="E121" i="2"/>
  <c r="J120" i="2"/>
  <c r="J119" i="2"/>
  <c r="J118" i="2"/>
  <c r="J121" i="2" s="1"/>
  <c r="J117" i="2"/>
  <c r="J116" i="2"/>
  <c r="J115" i="2"/>
  <c r="I115" i="2"/>
  <c r="H115" i="2"/>
  <c r="G115" i="2"/>
  <c r="F115" i="2"/>
  <c r="E115" i="2"/>
  <c r="J114" i="2"/>
  <c r="J113" i="2"/>
  <c r="I112" i="2"/>
  <c r="H112" i="2"/>
  <c r="G112" i="2"/>
  <c r="F112" i="2"/>
  <c r="E112" i="2"/>
  <c r="E122" i="2" s="1"/>
  <c r="J111" i="2"/>
  <c r="J110" i="2"/>
  <c r="J109" i="2"/>
  <c r="J107" i="2"/>
  <c r="J112" i="2" s="1"/>
  <c r="H106" i="2"/>
  <c r="H122" i="2" s="1"/>
  <c r="G106" i="2"/>
  <c r="G122" i="2" s="1"/>
  <c r="F106" i="2"/>
  <c r="F122" i="2" s="1"/>
  <c r="E106" i="2"/>
  <c r="I105" i="2"/>
  <c r="I106" i="2" s="1"/>
  <c r="J104" i="2"/>
  <c r="J103" i="2"/>
  <c r="H102" i="2"/>
  <c r="G102" i="2"/>
  <c r="F102" i="2"/>
  <c r="E102" i="2"/>
  <c r="J101" i="2"/>
  <c r="I101" i="2"/>
  <c r="I100" i="2"/>
  <c r="J100" i="2" s="1"/>
  <c r="J99" i="2"/>
  <c r="I99" i="2"/>
  <c r="I98" i="2"/>
  <c r="J98" i="2" s="1"/>
  <c r="G97" i="2"/>
  <c r="H96" i="2"/>
  <c r="H97" i="2" s="1"/>
  <c r="G96" i="2"/>
  <c r="F96" i="2"/>
  <c r="F97" i="2" s="1"/>
  <c r="E96" i="2"/>
  <c r="E97" i="2" s="1"/>
  <c r="J95" i="2"/>
  <c r="I95" i="2"/>
  <c r="J93" i="2"/>
  <c r="I93" i="2"/>
  <c r="J92" i="2"/>
  <c r="I92" i="2"/>
  <c r="J91" i="2"/>
  <c r="J96" i="2" s="1"/>
  <c r="J97" i="2" s="1"/>
  <c r="I91" i="2"/>
  <c r="I96" i="2" s="1"/>
  <c r="I97" i="2" s="1"/>
  <c r="J90" i="2"/>
  <c r="I90" i="2"/>
  <c r="E89" i="2"/>
  <c r="I88" i="2"/>
  <c r="H88" i="2"/>
  <c r="G88" i="2"/>
  <c r="F88" i="2"/>
  <c r="E88" i="2"/>
  <c r="J87" i="2"/>
  <c r="J88" i="2" s="1"/>
  <c r="J86" i="2"/>
  <c r="I86" i="2"/>
  <c r="H86" i="2"/>
  <c r="G86" i="2"/>
  <c r="F86" i="2"/>
  <c r="E86" i="2"/>
  <c r="J85" i="2"/>
  <c r="J84" i="2"/>
  <c r="H83" i="2"/>
  <c r="G83" i="2"/>
  <c r="F83" i="2"/>
  <c r="F89" i="2" s="1"/>
  <c r="E83" i="2"/>
  <c r="J82" i="2"/>
  <c r="J81" i="2"/>
  <c r="J79" i="2"/>
  <c r="I79" i="2"/>
  <c r="I78" i="2"/>
  <c r="J78" i="2" s="1"/>
  <c r="I77" i="2"/>
  <c r="J77" i="2" s="1"/>
  <c r="J83" i="2" s="1"/>
  <c r="I76" i="2"/>
  <c r="J76" i="2" s="1"/>
  <c r="I75" i="2"/>
  <c r="H75" i="2"/>
  <c r="G75" i="2"/>
  <c r="F75" i="2"/>
  <c r="E75" i="2"/>
  <c r="J74" i="2"/>
  <c r="I73" i="2"/>
  <c r="J73" i="2" s="1"/>
  <c r="J72" i="2"/>
  <c r="J75" i="2" s="1"/>
  <c r="J71" i="2"/>
  <c r="H70" i="2"/>
  <c r="H89" i="2" s="1"/>
  <c r="G70" i="2"/>
  <c r="G89" i="2" s="1"/>
  <c r="F70" i="2"/>
  <c r="E70" i="2"/>
  <c r="J69" i="2"/>
  <c r="I69" i="2"/>
  <c r="I68" i="2"/>
  <c r="J68" i="2" s="1"/>
  <c r="J67" i="2"/>
  <c r="I67" i="2"/>
  <c r="I66" i="2"/>
  <c r="J66" i="2" s="1"/>
  <c r="J63" i="2"/>
  <c r="I63" i="2"/>
  <c r="H63" i="2"/>
  <c r="G63" i="2"/>
  <c r="F63" i="2"/>
  <c r="E63" i="2"/>
  <c r="J62" i="2"/>
  <c r="I61" i="2"/>
  <c r="H61" i="2"/>
  <c r="G61" i="2"/>
  <c r="F61" i="2"/>
  <c r="E61" i="2"/>
  <c r="J60" i="2"/>
  <c r="J61" i="2" s="1"/>
  <c r="J59" i="2"/>
  <c r="I59" i="2"/>
  <c r="H59" i="2"/>
  <c r="G59" i="2"/>
  <c r="F59" i="2"/>
  <c r="E59" i="2"/>
  <c r="J58" i="2"/>
  <c r="H57" i="2"/>
  <c r="G57" i="2"/>
  <c r="F57" i="2"/>
  <c r="E57" i="2"/>
  <c r="I56" i="2"/>
  <c r="J56" i="2" s="1"/>
  <c r="I55" i="2"/>
  <c r="J55" i="2" s="1"/>
  <c r="I54" i="2"/>
  <c r="J54" i="2" s="1"/>
  <c r="I53" i="2"/>
  <c r="J53" i="2" s="1"/>
  <c r="I52" i="2"/>
  <c r="J52" i="2" s="1"/>
  <c r="J51" i="2"/>
  <c r="I51" i="2"/>
  <c r="I50" i="2"/>
  <c r="J50" i="2" s="1"/>
  <c r="H47" i="2"/>
  <c r="G47" i="2"/>
  <c r="F47" i="2"/>
  <c r="E47" i="2"/>
  <c r="I46" i="2"/>
  <c r="J46" i="2" s="1"/>
  <c r="I45" i="2"/>
  <c r="J45" i="2" s="1"/>
  <c r="I44" i="2"/>
  <c r="J44" i="2" s="1"/>
  <c r="I43" i="2"/>
  <c r="J43" i="2" s="1"/>
  <c r="J47" i="2" s="1"/>
  <c r="H42" i="2"/>
  <c r="G42" i="2"/>
  <c r="F42" i="2"/>
  <c r="E42" i="2"/>
  <c r="J41" i="2"/>
  <c r="I41" i="2"/>
  <c r="I40" i="2"/>
  <c r="J40" i="2" s="1"/>
  <c r="I39" i="2"/>
  <c r="J39" i="2" s="1"/>
  <c r="I38" i="2"/>
  <c r="J38" i="2" s="1"/>
  <c r="I37" i="2"/>
  <c r="J37" i="2" s="1"/>
  <c r="I36" i="2"/>
  <c r="J36" i="2" s="1"/>
  <c r="G35" i="2"/>
  <c r="F35" i="2"/>
  <c r="E35" i="2"/>
  <c r="I34" i="2"/>
  <c r="J34" i="2" s="1"/>
  <c r="I33" i="2"/>
  <c r="J33" i="2" s="1"/>
  <c r="G33" i="2"/>
  <c r="I31" i="2"/>
  <c r="J31" i="2" s="1"/>
  <c r="J30" i="2"/>
  <c r="I30" i="2"/>
  <c r="I29" i="2"/>
  <c r="J29" i="2" s="1"/>
  <c r="J28" i="2"/>
  <c r="I28" i="2"/>
  <c r="I27" i="2"/>
  <c r="J27" i="2" s="1"/>
  <c r="H26" i="2"/>
  <c r="H25" i="2"/>
  <c r="G25" i="2"/>
  <c r="F25" i="2"/>
  <c r="E25" i="2"/>
  <c r="I24" i="2"/>
  <c r="J24" i="2" s="1"/>
  <c r="I23" i="2"/>
  <c r="J23" i="2" s="1"/>
  <c r="I22" i="2"/>
  <c r="J22" i="2" s="1"/>
  <c r="J21" i="2"/>
  <c r="J25" i="2" s="1"/>
  <c r="H20" i="2"/>
  <c r="G20" i="2"/>
  <c r="F20" i="2"/>
  <c r="E20" i="2"/>
  <c r="I19" i="2"/>
  <c r="J19" i="2" s="1"/>
  <c r="J18" i="2"/>
  <c r="I18" i="2"/>
  <c r="I17" i="2"/>
  <c r="J17" i="2" s="1"/>
  <c r="J15" i="2"/>
  <c r="I15" i="2"/>
  <c r="I14" i="2"/>
  <c r="J14" i="2" s="1"/>
  <c r="J13" i="2"/>
  <c r="I13" i="2"/>
  <c r="I12" i="2"/>
  <c r="I20" i="2" s="1"/>
  <c r="H11" i="2"/>
  <c r="G11" i="2"/>
  <c r="G64" i="2" s="1"/>
  <c r="F11" i="2"/>
  <c r="F64" i="2" s="1"/>
  <c r="E11" i="2"/>
  <c r="E64" i="2" s="1"/>
  <c r="I10" i="2"/>
  <c r="J10" i="2" s="1"/>
  <c r="J9" i="2"/>
  <c r="I9" i="2"/>
  <c r="I8" i="2"/>
  <c r="J8" i="2" s="1"/>
  <c r="J7" i="2"/>
  <c r="I7" i="2"/>
  <c r="I6" i="2"/>
  <c r="I11" i="2" s="1"/>
  <c r="D51" i="1"/>
  <c r="D52" i="1" s="1"/>
  <c r="E50" i="1"/>
  <c r="E52" i="1" s="1"/>
  <c r="D50" i="1"/>
  <c r="E45" i="1"/>
  <c r="D45" i="1"/>
  <c r="E41" i="1"/>
  <c r="D41" i="1"/>
  <c r="C41" i="1"/>
  <c r="E27" i="1"/>
  <c r="D27" i="1"/>
  <c r="C27" i="1"/>
  <c r="E23" i="1"/>
  <c r="D23" i="1"/>
  <c r="E20" i="1"/>
  <c r="D20" i="1"/>
  <c r="C20" i="1"/>
  <c r="C51" i="1" s="1"/>
  <c r="E11" i="1"/>
  <c r="E51" i="1" s="1"/>
  <c r="D11" i="1"/>
  <c r="C11" i="1"/>
  <c r="I212" i="2" l="1"/>
  <c r="J70" i="2"/>
  <c r="J89" i="2" s="1"/>
  <c r="J102" i="2"/>
  <c r="I122" i="2"/>
  <c r="F226" i="2"/>
  <c r="J57" i="2"/>
  <c r="E226" i="2"/>
  <c r="J42" i="2"/>
  <c r="I47" i="2"/>
  <c r="I57" i="2"/>
  <c r="I25" i="2"/>
  <c r="I42" i="2"/>
  <c r="I102" i="2"/>
  <c r="F131" i="2"/>
  <c r="G175" i="2"/>
  <c r="G226" i="2" s="1"/>
  <c r="J160" i="2"/>
  <c r="J164" i="2" s="1"/>
  <c r="F180" i="2"/>
  <c r="J180" i="2"/>
  <c r="I211" i="2"/>
  <c r="J210" i="2"/>
  <c r="J211" i="2" s="1"/>
  <c r="J212" i="2" s="1"/>
  <c r="J12" i="2"/>
  <c r="J20" i="2" s="1"/>
  <c r="I70" i="2"/>
  <c r="I89" i="2" s="1"/>
  <c r="J105" i="2"/>
  <c r="J106" i="2" s="1"/>
  <c r="J122" i="2" s="1"/>
  <c r="I130" i="2"/>
  <c r="J142" i="2"/>
  <c r="J146" i="2" s="1"/>
  <c r="G180" i="2"/>
  <c r="G212" i="2"/>
  <c r="I224" i="2"/>
  <c r="I225" i="2" s="1"/>
  <c r="J6" i="2"/>
  <c r="J11" i="2" s="1"/>
  <c r="H35" i="2"/>
  <c r="H64" i="2" s="1"/>
  <c r="I26" i="2"/>
  <c r="I83" i="2"/>
  <c r="I128" i="2"/>
  <c r="I131" i="2" s="1"/>
  <c r="F141" i="2"/>
  <c r="J155" i="2"/>
  <c r="J157" i="2" s="1"/>
  <c r="I157" i="2"/>
  <c r="I173" i="2"/>
  <c r="J219" i="2"/>
  <c r="J224" i="2" s="1"/>
  <c r="J225" i="2" s="1"/>
  <c r="H164" i="2"/>
  <c r="H175" i="2" s="1"/>
  <c r="I35" i="2" l="1"/>
  <c r="I64" i="2" s="1"/>
  <c r="I226" i="2" s="1"/>
  <c r="J26" i="2"/>
  <c r="J35" i="2" s="1"/>
  <c r="H226" i="2"/>
  <c r="I174" i="2"/>
  <c r="I175" i="2" s="1"/>
  <c r="J173" i="2"/>
  <c r="J174" i="2" s="1"/>
  <c r="J64" i="2"/>
  <c r="J175" i="2"/>
  <c r="J226" i="2" l="1"/>
</calcChain>
</file>

<file path=xl/sharedStrings.xml><?xml version="1.0" encoding="utf-8"?>
<sst xmlns="http://schemas.openxmlformats.org/spreadsheetml/2006/main" count="768" uniqueCount="219">
  <si>
    <t>องค์การบริหารส่วนตำบลเทพราช อำเภอสิชล จังหวัดนครศรีธรรมราช</t>
  </si>
  <si>
    <t>รายงานแสดงผลการดำเนินงาน (ด้านรายรับ)</t>
  </si>
  <si>
    <t>ไตรมาสที่ 1 ตั้งแต่เดือนตุลาคม - ธันวาคม 2558</t>
  </si>
  <si>
    <t>ปีงบประมาณ พ.ศ. 2559</t>
  </si>
  <si>
    <t>ประเภท</t>
  </si>
  <si>
    <t>รหัสบัญชี</t>
  </si>
  <si>
    <t>ประมาณการ</t>
  </si>
  <si>
    <t>รับจริงถึงปัจจุบัน</t>
  </si>
  <si>
    <t>รับจริงเดือนนี้</t>
  </si>
  <si>
    <t>รายได้จัดเก็บเอง</t>
  </si>
  <si>
    <t>หมวดภาษีอากร</t>
  </si>
  <si>
    <t>(1) ภาษีโรงเรือนและที่ดิน</t>
  </si>
  <si>
    <t>(2) ภาษีบำรุงท้องที่</t>
  </si>
  <si>
    <t>(3) ภาษีป้าย</t>
  </si>
  <si>
    <t>รวม</t>
  </si>
  <si>
    <t>หมวดค่าธรรมเนียม ค่าปรับ และใบอนุญาต</t>
  </si>
  <si>
    <t>(1) ค่าธรรมเนียมเกี่ยวกับใบอนุญาตการขายสุรา</t>
  </si>
  <si>
    <t>(2) ค่าธรรมเนียมเกี่ยวกับใบอนุญาตการพนัน</t>
  </si>
  <si>
    <t>(3) ค่าธรรมเนียมเกี่ยวกับการควบคุมอาคาร</t>
  </si>
  <si>
    <t>(4) ค่าธรรมเนียมจดทะเบียนพาณิชย์</t>
  </si>
  <si>
    <t>(5) ค่าปรับการผิดสัญญา</t>
  </si>
  <si>
    <t>(6) ค่าใบอนุญาตประกอบการค้าสำหรับกิจการที่เป็นอันตรายต่อสุขภาพ</t>
  </si>
  <si>
    <t>(7) ค่าใบอนุญาตเกี่ยวกับการควบคุมอาคาร</t>
  </si>
  <si>
    <t>หมวดรายได้จากทรัพย์สิน</t>
  </si>
  <si>
    <t>(1) ดอกเบี้ย</t>
  </si>
  <si>
    <t>หมวดรายได้เบ็ดเตล็ด</t>
  </si>
  <si>
    <t>(1) ค่าขายแบบแปลน</t>
  </si>
  <si>
    <t>(2) รายได้เบ็ดเตล็ดอื่นๆ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</si>
  <si>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</si>
  <si>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</si>
  <si>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(1) ภาษีและค่าธรรมเนียมรถยนต์และล้อเลื่อน</t>
  </si>
  <si>
    <t>(2) ภาษีมูลค่าเพิ่มตาม พ.ร.บ. กำหนดแผนฯ</t>
  </si>
  <si>
    <t>(3) ภาษีมูลค่าเพิ่มตาม พ.ร.บ.จัดสรรรายได้ฯ</t>
  </si>
  <si>
    <t>(4) ภาษีธุรกิจเฉพาะ</t>
  </si>
  <si>
    <t>(5) ภาษีสุรา</t>
  </si>
  <si>
    <t>รับจริง</t>
  </si>
  <si>
    <t>(6) ภาษีสรรพสามิต</t>
  </si>
  <si>
    <t>(7) ค่าภาคหลวงแร่</t>
  </si>
  <si>
    <t>(8) ค่าภาคหลวงปิโตรเลียม</t>
  </si>
  <si>
    <t>(9) เงินที่เก็บตามกฎหมายว่าด้วยอุทยานแห่งชาติ</t>
  </si>
  <si>
    <t>(10) ค่าธรรมเนียมจดทะเบียนสิทธิและนิติกรรมตามประมวลกฎหมายที่ดิน</t>
  </si>
  <si>
    <t>รายได้ที่รัฐบาลอุดหนุนให้องค์กรปกครองส่วนท้องถิ่น</t>
  </si>
  <si>
    <t>หมวดเงินอุดหนุนทั่วไป</t>
  </si>
  <si>
    <t>(1) เงินอุดหนุนทั่วไป สำหรับดำเนินการตามอำนาจหน้าที่และภารกิจถ่ายโอนเลือกทำ</t>
  </si>
  <si>
    <t>รายได้ที่รัฐบาลอุดหนุนให้โดยระบุวัตถุประสงค์/เฉพาะกิจ</t>
  </si>
  <si>
    <t>หมวดเงินอุดหนุนระบุวัตถุประสงค์/เฉพาะกิจ</t>
  </si>
  <si>
    <t>(1) เงินอุดหนุนระบุวัตถุประสงค์/เฉพาะกิจจากกรมส่งเสริมการปกครองท้องถิ่น</t>
  </si>
  <si>
    <t>(2) เงินอุดหนุนระบุวัตถุประสงค์/เฉพาะกิจจากหน่วยงานอื่น</t>
  </si>
  <si>
    <t>รวมรับทั้งสิ้น</t>
  </si>
  <si>
    <t>รวมรับจนถึงปัจจุบัน</t>
  </si>
  <si>
    <t>องค์การบริหารส่วนตำบลเทพราช  อำเภอสิชล  จังหวัดนครศรีธรรมราช</t>
  </si>
  <si>
    <t>รายงานแสดงผลการดำเนินงาน (ด้านรายจ่าย)</t>
  </si>
  <si>
    <t xml:space="preserve">ไตรมาสที่ 1 ตั้งแต่เดือน ตุลาคม - ธันวาคม 2558 </t>
  </si>
  <si>
    <t>ปีงบประมาณ พ.ศ.2559</t>
  </si>
  <si>
    <t>งาน</t>
  </si>
  <si>
    <t>หมวดรายจ่าย</t>
  </si>
  <si>
    <t>ประเภทรายจ่าย</t>
  </si>
  <si>
    <t>โครงการ</t>
  </si>
  <si>
    <t>งบประมาณอนุมัติ
(บาท)</t>
  </si>
  <si>
    <t>โอนเพิ่ม
(บาท)</t>
  </si>
  <si>
    <t>โอนลด
(บาท)</t>
  </si>
  <si>
    <t>เบิกจ่ายเดือนนี้</t>
  </si>
  <si>
    <t>เบิกจ่ายทั้งสิ้น
(บาท)</t>
  </si>
  <si>
    <t>งบประมาณคงเหลือ
(บาท)</t>
  </si>
  <si>
    <t>งานบริหารทั่วไป</t>
  </si>
  <si>
    <t>เงินเดือน (ฝ่ายการเมือง)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</si>
  <si>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</si>
  <si>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</si>
  <si>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</si>
  <si>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เงินค่าตอบแทนเลขานุการ/ที่ปรึกษานายกเทศมนตรี นายกองค์การบริหารส่วนตำบล</t>
  </si>
  <si>
    <t>เงินค่าตอบแทนสมาชิกสภาองค์กรปกครองส่วนท้องถิ่น</t>
  </si>
  <si>
    <t>รวมหมวดเงินเดือน (ฝ่ายการเมือง)</t>
  </si>
  <si>
    <t>เงินเดือน (ฝ่ายประจำ)</t>
  </si>
  <si>
    <t>เงินเดือนพนักงาน</t>
  </si>
  <si>
    <t>เงินเพิ่มต่าง ๆ ของพนักงาน</t>
  </si>
  <si>
    <t>เงินประจำตำแหน่ง</t>
  </si>
  <si>
    <t>ค่าจ้างลูกจ้างประจำ</t>
  </si>
  <si>
    <t>เงินเพิ่มต่าง ๆของลูกจ้างประจำ</t>
  </si>
  <si>
    <t>ค่าตอบแทนพนักงานจ้าง</t>
  </si>
  <si>
    <t>เงินเพิ่มต่าง ๆของพนักงานจ้าง</t>
  </si>
  <si>
    <t>รวมหมวดเงินเดือน (ฝ่ายประจำ)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</si>
  <si>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</si>
  <si>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</si>
  <si>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</si>
  <si>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</si>
  <si>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</si>
  <si>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รวมหมวดค่าตอบแทน</t>
  </si>
  <si>
    <t>ค่าใช้สอย</t>
  </si>
  <si>
    <t>รายจ่ายเพื่อให้ได้มาซึ่งบริการ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</si>
  <si>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</si>
  <si>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รายจ่ายเกี่ยวเนื่องกับการปฏิบัติราชการที่ไม่เข้าลักษณะรายจ่ายหมวดอื่นๆ</t>
  </si>
  <si>
    <t>ค่าใช้จ่ายในการเดินทางไปราชการ</t>
  </si>
  <si>
    <t>ค่าใช้จ่ายในการเลือกตั้ง</t>
  </si>
  <si>
    <t>ค่าพวงมาลัย  ช่อดอกไม้  กระเช้าดอกไม้  พวงมาลา</t>
  </si>
  <si>
    <t>โครงการฝึกอบรมเพื่อเสริมสร้างคุณธรรมจริยธรรม</t>
  </si>
  <si>
    <t>โครงการฝึกอบรมและทัศนศึกษาดูงานเพื่อพัฒนาบุคลากร</t>
  </si>
  <si>
    <t>ค่าบำรุงรักษาและซ่อมแซม</t>
  </si>
  <si>
    <t>รวมหมวดค่าใช้สอย</t>
  </si>
  <si>
    <t>ค่าวัสดุ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</si>
  <si>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</si>
  <si>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</si>
  <si>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</si>
  <si>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วัสดุเชื้อเพลิงและหล่อลื่น</t>
  </si>
  <si>
    <t>วัสดุโฆษณาและเผยแพร่</t>
  </si>
  <si>
    <t>วัสดุคอมพิวเตอร์</t>
  </si>
  <si>
    <t>รวมหมวดค่าวัสดุ</t>
  </si>
  <si>
    <t>ค่าสาธารณูปโภค</t>
  </si>
  <si>
    <t>ค่าไฟฟ้า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</si>
  <si>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</si>
  <si>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</si>
  <si>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</si>
  <si>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รวมหมวดค่าสาธารณูปโภค</t>
  </si>
  <si>
    <t>ค่าครุภัณฑ์</t>
  </si>
  <si>
    <t>ครุภัณฑ์สำนักงาน</t>
  </si>
  <si>
    <t>ค่าจัดซื้อตู้เหล็กเก็บเอกสารบานเลื่อนกระจก</t>
  </si>
  <si>
    <t>ค่าจัดซื้อโต๊ะทำงานพนักงาน ระดับ 3- 6</t>
  </si>
  <si>
    <t>ครุภัณฑ์งานบ้านงานครัว</t>
  </si>
  <si>
    <t>ค่าจัดซื้อมู่ลี่ปรับแสงพร้อมติดตั้งอาคารศูนย์พัฒนาคุณภาพชีวิตและส่งเสริมอาชีพผู้สูงอายุ</t>
  </si>
  <si>
    <t>ครุภัณฑ์คอมพิวเตอร์</t>
  </si>
  <si>
    <t>ค่าจัดซื้อเครื่องคอมพิวเตอร์ตั้งโต๊ะ</t>
  </si>
  <si>
    <t>ค่าจัดซื้อเครื่องพิมพ์แบบหมึกฉีด (INKJET Printer)</t>
  </si>
  <si>
    <t>ค่าจัดซื้อเครื่องสำรองไฟฟ้า</t>
  </si>
  <si>
    <t>ค่าบำรุงรักษาและปรับปรุงครุภัณฑ์</t>
  </si>
  <si>
    <t>รวมหมวดค่าครุภัณฑ์</t>
  </si>
  <si>
    <t>ค่าที่ดินและสิ่งก่อสร้าง</t>
  </si>
  <si>
    <t>ค่าก่อสร้างสิ่งสาธารณูปการ</t>
  </si>
  <si>
    <t>โครงการติดตั้งระบบหอกระจายข่าวแบบไร้สาย</t>
  </si>
  <si>
    <t>รวมหมวดค่าที่ดินและสิ่งก่อสร้าง</t>
  </si>
  <si>
    <t>รายจ่ายอื่น</t>
  </si>
  <si>
    <t>รวมหมวดรายจ่ายอื่น</t>
  </si>
  <si>
    <t>เงินอุดหนุน</t>
  </si>
  <si>
    <t>เงินอุดหนุนองค์กรปกครองส่วนท้องถิ่น</t>
  </si>
  <si>
    <t>รวมหมวดเงินอุดหนุน</t>
  </si>
  <si>
    <t>รวมงานบริหารทั่วไป</t>
  </si>
  <si>
    <t>งานบริหารงานคลัง</t>
  </si>
  <si>
    <t>โครงการจัดทำแผนที่ภาษีและทะเบียนทรัพย์สิน</t>
  </si>
  <si>
    <t>โครงการประชาสัมพันธ์การจัดเก็บภาษีของ อบต.เทพราช</t>
  </si>
  <si>
    <t>โครงการออกบริการจัดเก็บภาษีเคลื่อนที่ประจำปี</t>
  </si>
  <si>
    <t>รวมงานบริหารงานคลัง</t>
  </si>
  <si>
    <t>งานบริหารทั่วไปเกี่ยวกับการรักษาความสงบภายใน</t>
  </si>
  <si>
    <t>โครงการจัดหาเครื่องแต่งกายงานป้องกันและบรรเทาสาธารณภัย</t>
  </si>
  <si>
    <t>โครงการช่วยเหลือผู้ประสบสาธารณภัย</t>
  </si>
  <si>
    <t>โครงการป้องกัน  เฝ้าระวังและช่วยเหลือประชาชนในเหตุการณ์ต่างๆ</t>
  </si>
  <si>
    <t>โครงการป้องกันลดอุบัติเหตุในช่วงเทศกาลวันสำคัญ(7 วัน อันตราย  )</t>
  </si>
  <si>
    <t>โครงการฝึกอบรม  รณรงค์ และประชาสัมพันธ์การป้องกันไฟป่า</t>
  </si>
  <si>
    <t>รวมงานบริหารทั่วไปเกี่ยวกับการรักษาความสงบภายใน</t>
  </si>
  <si>
    <t>งานบริหารทั่วไปเกี่ยวกับการศึกษา</t>
  </si>
  <si>
    <t>ค่าใช้จ่ายในการพัฒนาครูผู้ดูแลเด็ก/ผู้ดูแลเด็กของศูนย์พัฒนาเด็กเล็ก</t>
  </si>
  <si>
    <t>ครุภัณฑ์โฆษณาและเผยแพร่</t>
  </si>
  <si>
    <t>ค่าจัดซื้อกล้องถ่ายภาพนิ่งระบบดิจิตอล</t>
  </si>
  <si>
    <t>ค่าจัดซื้อเครื่องคอมพิวเตอร์โน้ตบุ้ค</t>
  </si>
  <si>
    <t>รวมงานบริหารทั่วไปเกี่ยวกับการศึกษา</t>
  </si>
  <si>
    <t>งานระดับก่อนวัยเรียนและประถมศึกษา</t>
  </si>
  <si>
    <t>โครงการส่งเสริมความเป็นเลิศของนักเรียน</t>
  </si>
  <si>
    <t>โครงการสนับสนุนค่าใช้จ่ายการบริหารสถานศึกษา</t>
  </si>
  <si>
    <t>ค่าอาหารเสริม (นม)</t>
  </si>
  <si>
    <t>เงินอุดหนุนส่วนราชการ</t>
  </si>
  <si>
    <t>รวมงานระดับก่อนวัยเรียนและประถมศึกษา</t>
  </si>
  <si>
    <t>งานบริการสาธารณสุขและงานสาธารณสุขอื่น</t>
  </si>
  <si>
    <t>โครงการป้องกันโรคพิษสุนัขบ้าและคุมกำเนิด(หมา , แมว)</t>
  </si>
  <si>
    <t>โครงการป้องกันและควบคุมโรคไข้เลือดออกในชุมชน</t>
  </si>
  <si>
    <t>วัสดุวิทยาศาสตร์หรือการแพทย์</t>
  </si>
  <si>
    <t>เงินอุดหนุนกิจการที่เป็นสาธารณประโยชน์</t>
  </si>
  <si>
    <t>รวมงานบริการสาธารณสุขและงานสาธารณสุขอื่น</t>
  </si>
  <si>
    <t>งานบริหารทั่วไปเกี่ยวกับเคหะและชุมชน</t>
  </si>
  <si>
    <t>วัสดุก่อสร้าง</t>
  </si>
  <si>
    <t>วัสดุยานพาหนะและขนส่ง</t>
  </si>
  <si>
    <t>ครุภัณฑ์ยานพาหนะและขนส่ง</t>
  </si>
  <si>
    <t>ค่าจัดซื้อรถบรรทุกขยะ  ขนาด 6 ตัน 6 ล้อ  แบบอัดท้าย</t>
  </si>
  <si>
    <t>ค่าจัดซื้อเครื่องฉีดน้ำแรงดันสูง</t>
  </si>
  <si>
    <t>ครุภัณฑ์สำรวจ</t>
  </si>
  <si>
    <t>ค่าจัดซื้อกล้องวัดมุมแบบอิเล็กทรอนิกส์</t>
  </si>
  <si>
    <t>ค่าจัดซื้อเทปวัดระยะทางสแตนเลส</t>
  </si>
  <si>
    <t>ค่าจัดซื้อเครื่องพิมพ์  Multifunction ชนิดเลเซอร์ /ชนิด LED สี</t>
  </si>
  <si>
    <t>ครุภัณฑ์อื่น</t>
  </si>
  <si>
    <t>ค่าจัดซื้อถังรองรับขยะมูลฝอยแบบพลาสติก</t>
  </si>
  <si>
    <t>ค่าจัดซื้อแบบเหล็กเทถนนคอนกรีต</t>
  </si>
  <si>
    <t>รวมงานบริหารทั่วไปเกี่ยวกับเคหะและชุมชน</t>
  </si>
  <si>
    <t>งานไฟฟ้าถนน</t>
  </si>
  <si>
    <t>ค่าก่อสร้างสิ่งสาธารณูปโภค</t>
  </si>
  <si>
    <t>โครงการก่อสร้างฐานรองถังขยะคอนกรีตเสริมเหล็ก</t>
  </si>
  <si>
    <t>รวมงานไฟฟ้าถนน</t>
  </si>
  <si>
    <t>งานส่งเสริมและสนับสนุนความเข้มแข็งชุมชน</t>
  </si>
  <si>
    <t>โครงการจัดเวทีประชาคม</t>
  </si>
  <si>
    <t>โครงการป้องกันและแก้ไขความรุนแรงต่อเด็ก  สตรีและบุคคลในครอบครัว</t>
  </si>
  <si>
    <t>โครงการป้องกันและแก้ไขปัญหายาเสพติดในสถานศึกษา</t>
  </si>
  <si>
    <t>โครงการฝึกอาชีพให้กับผู้พิการ  ผู้สูงอายุ  ผู้ด้อยโอกาสและผู้มีรายได้น้อย</t>
  </si>
  <si>
    <t>โครงการเสริมสร้างครอบครัวอบอุ่นเข้มแข็ง</t>
  </si>
  <si>
    <t>โครงการอบรมสร้างความปรองดองสมานฉันท์</t>
  </si>
  <si>
    <t>รวมงานส่งเสริมและสนับสนุนความเข้มแข็งชุมชน</t>
  </si>
  <si>
    <t>งานกีฬาและนันทนาการ</t>
  </si>
  <si>
    <t>กิจกรรมวันเด็กแห่งชาติ</t>
  </si>
  <si>
    <t>โครงการแข่งขันกีฬาเซปัคตะกร้อเขายวนเฒ่าคัพ</t>
  </si>
  <si>
    <t>โครงการจัดการแข่งขันกีฬาและกรีฑาระดับตำบล “เทพราชเกมส์”</t>
  </si>
  <si>
    <t>โครงการจัดส่งนักกีฬา/กรีฑาเข้าร่วมการแข่งขันกีฬาระดับอำเภอ อ.สิชล</t>
  </si>
  <si>
    <t>โครงการจัดส่งนักกีฬาเข้าร่วมการแข่งขันกีฬาฟุตบอลเทศบาลสิชลคัพ</t>
  </si>
  <si>
    <t>โครงการส่งนักกีฬาเข้าร่วมการแข่งขัน “กีฬาท้องถิ่นท้องที่สัมพันธ์”</t>
  </si>
  <si>
    <t>รวมงานกีฬาและนันทนาการ</t>
  </si>
  <si>
    <t>งานศาสนาวัฒนธรรมท้องถิ่น</t>
  </si>
  <si>
    <t>โครงการงานประเพณีชักพระ</t>
  </si>
  <si>
    <t>โครงการงานประเพณีลอยกระทง</t>
  </si>
  <si>
    <t>โครงการงานประเพณีสงกรานต์ (จัดกิจกรรมวันผู้สูงอายุ)</t>
  </si>
  <si>
    <t>โครงการปกป้องสถาบันสำคัญของชาติ</t>
  </si>
  <si>
    <t>โครงการแห่เทียนพรรษา</t>
  </si>
  <si>
    <t>รวมงานศาสนาวัฒนธรรมท้องถิ่น</t>
  </si>
  <si>
    <t>งานส่งเสริมการเกษตร</t>
  </si>
  <si>
    <t>โครงการปลูกต้นไม้  และปล่อยพันธุ์สัตว์น้ำ</t>
  </si>
  <si>
    <t>โครงการฝึกอบรมเพื่อส่งเสริมอาชีพตามหลักเศรษฐกิจพอเพียง</t>
  </si>
  <si>
    <t>วัสดุการเกษตร</t>
  </si>
  <si>
    <t>รวมงานส่งเสริมการเกษตร</t>
  </si>
  <si>
    <t>งบกลาง</t>
  </si>
  <si>
    <t>เงินสมทบกองทุนประกันสังคม</t>
  </si>
  <si>
    <t>เบี้ยยังชีพผู้ป่วยเอดส์</t>
  </si>
  <si>
    <t>สำรองจ่าย</t>
  </si>
  <si>
    <t>รายจ่ายตามข้อผูกพัน</t>
  </si>
  <si>
    <t>เงินสมทบกองทุนบำเหน็จบำนาญข้าราชการส่วนท้องถิ่น (กบท.)</t>
  </si>
  <si>
    <t>รวมหมวดงบกลาง</t>
  </si>
  <si>
    <t>รวมงบกลาง</t>
  </si>
  <si>
    <t>รวมทั้งหมด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</si>
</sst>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_(* #,##0.0_);_(* \(#,##0.0\);_(* &quot;-&quot;??_);_(@_)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charset val="1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0"/>
      <name val="Arial"/>
      <family val="2"/>
    </font>
    <font>
      <sz val="16"/>
      <color theme="1"/>
      <name val="TH SarabunPSK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b/>
      <sz val="18"/>
      <color indexed="8"/>
      <name val="TH SarabunPSK"/>
      <family val="2"/>
    </font>
    <font>
      <sz val="14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2"/>
      <color indexed="8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55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  <border>
      <left/>
      <right/>
      <top style="medium">
        <color indexed="55"/>
      </top>
      <bottom/>
      <diagonal/>
    </border>
  </borders>
  <cellStyleXfs count="16">
    <xf numFmtId="0" fontId="0" fillId="0" borderId="0"/>
    <xf numFmtId="0" fontId="2" fillId="0" borderId="0">
      <alignment wrapText="1"/>
    </xf>
    <xf numFmtId="187" fontId="6" fillId="0" borderId="0" applyFont="0" applyFill="0" applyBorder="0" applyAlignment="0" applyProtection="0">
      <alignment wrapText="1"/>
    </xf>
    <xf numFmtId="187" fontId="6" fillId="0" borderId="0" applyFont="0" applyFill="0" applyBorder="0" applyAlignment="0" applyProtection="0">
      <alignment wrapText="1"/>
    </xf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188" fontId="2" fillId="0" borderId="0" applyFont="0" applyFill="0" applyBorder="0" applyAlignment="0" applyProtection="0">
      <alignment wrapText="1"/>
    </xf>
    <xf numFmtId="0" fontId="8" fillId="0" borderId="0"/>
    <xf numFmtId="0" fontId="6" fillId="0" borderId="0">
      <alignment wrapText="1"/>
    </xf>
    <xf numFmtId="0" fontId="1" fillId="0" borderId="0"/>
    <xf numFmtId="0" fontId="6" fillId="0" borderId="0"/>
    <xf numFmtId="0" fontId="1" fillId="0" borderId="0"/>
    <xf numFmtId="0" fontId="6" fillId="0" borderId="0"/>
    <xf numFmtId="0" fontId="2" fillId="0" borderId="0">
      <alignment wrapText="1"/>
    </xf>
    <xf numFmtId="187" fontId="2" fillId="0" borderId="0" applyFont="0" applyFill="0" applyBorder="0" applyAlignment="0" applyProtection="0">
      <alignment wrapText="1"/>
    </xf>
  </cellStyleXfs>
  <cellXfs count="65">
    <xf numFmtId="0" fontId="0" fillId="0" borderId="0" xfId="0"/>
    <xf numFmtId="0" fontId="3" fillId="0" borderId="0" xfId="1" applyFont="1" applyFill="1" applyBorder="1" applyAlignment="1">
      <alignment horizontal="center" vertical="center" wrapText="1"/>
    </xf>
    <xf numFmtId="0" fontId="4" fillId="0" borderId="0" xfId="1" applyFont="1">
      <alignment wrapText="1"/>
    </xf>
    <xf numFmtId="0" fontId="3" fillId="0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0" xfId="1" applyFont="1" applyFill="1">
      <alignment wrapText="1"/>
    </xf>
    <xf numFmtId="0" fontId="3" fillId="0" borderId="3" xfId="1" applyFont="1" applyFill="1" applyBorder="1" applyAlignment="1">
      <alignment vertical="top" wrapText="1"/>
    </xf>
    <xf numFmtId="0" fontId="5" fillId="0" borderId="3" xfId="1" applyFont="1" applyFill="1" applyBorder="1" applyAlignment="1">
      <alignment vertical="top" wrapText="1"/>
    </xf>
    <xf numFmtId="0" fontId="5" fillId="0" borderId="2" xfId="1" applyFont="1" applyFill="1" applyBorder="1" applyAlignment="1">
      <alignment horizontal="center" vertical="top" wrapText="1"/>
    </xf>
    <xf numFmtId="187" fontId="5" fillId="0" borderId="2" xfId="2" applyFont="1" applyFill="1" applyBorder="1" applyAlignment="1">
      <alignment horizontal="right" vertical="top" wrapText="1"/>
    </xf>
    <xf numFmtId="0" fontId="3" fillId="0" borderId="3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top" wrapText="1"/>
    </xf>
    <xf numFmtId="187" fontId="3" fillId="0" borderId="2" xfId="2" applyFont="1" applyFill="1" applyBorder="1" applyAlignment="1">
      <alignment horizontal="right" vertical="top" wrapText="1"/>
    </xf>
    <xf numFmtId="0" fontId="3" fillId="0" borderId="2" xfId="1" applyFont="1" applyFill="1" applyBorder="1" applyAlignment="1">
      <alignment vertical="top" wrapText="1"/>
    </xf>
    <xf numFmtId="0" fontId="7" fillId="0" borderId="0" xfId="1" applyFont="1" applyAlignment="1"/>
    <xf numFmtId="43" fontId="7" fillId="0" borderId="0" xfId="1" applyNumberFormat="1" applyFont="1" applyAlignment="1"/>
    <xf numFmtId="0" fontId="4" fillId="0" borderId="0" xfId="1" applyFont="1" applyBorder="1">
      <alignment wrapText="1"/>
    </xf>
    <xf numFmtId="0" fontId="4" fillId="0" borderId="0" xfId="1" applyFont="1" applyAlignment="1">
      <alignment horizontal="center" wrapText="1"/>
    </xf>
    <xf numFmtId="0" fontId="10" fillId="0" borderId="0" xfId="14" applyFont="1" applyFill="1" applyBorder="1" applyAlignment="1">
      <alignment horizontal="center" vertical="center" wrapText="1"/>
    </xf>
    <xf numFmtId="0" fontId="11" fillId="0" borderId="0" xfId="14" applyFont="1">
      <alignment wrapText="1"/>
    </xf>
    <xf numFmtId="0" fontId="12" fillId="0" borderId="0" xfId="14" applyFont="1" applyFill="1" applyBorder="1" applyAlignment="1">
      <alignment horizontal="center" vertical="center" wrapText="1"/>
    </xf>
    <xf numFmtId="0" fontId="12" fillId="0" borderId="0" xfId="14" applyFont="1" applyFill="1" applyAlignment="1">
      <alignment horizontal="center" vertical="center" wrapText="1"/>
    </xf>
    <xf numFmtId="0" fontId="13" fillId="0" borderId="0" xfId="14" applyFont="1" applyFill="1" applyBorder="1" applyAlignment="1">
      <alignment horizontal="center" vertical="center" wrapText="1"/>
    </xf>
    <xf numFmtId="0" fontId="10" fillId="0" borderId="1" xfId="14" applyFont="1" applyFill="1" applyBorder="1" applyAlignment="1">
      <alignment horizontal="center" vertical="center" wrapText="1"/>
    </xf>
    <xf numFmtId="0" fontId="12" fillId="2" borderId="2" xfId="14" applyFont="1" applyFill="1" applyBorder="1" applyAlignment="1">
      <alignment horizontal="center" vertical="center" wrapText="1"/>
    </xf>
    <xf numFmtId="0" fontId="14" fillId="2" borderId="2" xfId="14" applyFont="1" applyFill="1" applyBorder="1" applyAlignment="1">
      <alignment horizontal="center" vertical="center" wrapText="1"/>
    </xf>
    <xf numFmtId="0" fontId="15" fillId="2" borderId="2" xfId="14" applyFont="1" applyFill="1" applyBorder="1" applyAlignment="1">
      <alignment horizontal="center" vertical="center" wrapText="1"/>
    </xf>
    <xf numFmtId="187" fontId="12" fillId="2" borderId="2" xfId="15" applyFont="1" applyFill="1" applyBorder="1" applyAlignment="1">
      <alignment horizontal="center" vertical="center" wrapText="1"/>
    </xf>
    <xf numFmtId="187" fontId="16" fillId="2" borderId="2" xfId="15" applyFont="1" applyFill="1" applyBorder="1" applyAlignment="1">
      <alignment horizontal="center" vertical="center" wrapText="1"/>
    </xf>
    <xf numFmtId="0" fontId="11" fillId="0" borderId="0" xfId="14" applyFont="1" applyAlignment="1">
      <alignment horizontal="center" wrapText="1"/>
    </xf>
    <xf numFmtId="0" fontId="13" fillId="0" borderId="2" xfId="14" applyFont="1" applyFill="1" applyBorder="1" applyAlignment="1">
      <alignment horizontal="left" vertical="top" wrapText="1"/>
    </xf>
    <xf numFmtId="0" fontId="13" fillId="0" borderId="2" xfId="14" applyFont="1" applyFill="1" applyBorder="1" applyAlignment="1">
      <alignment vertical="top" wrapText="1"/>
    </xf>
    <xf numFmtId="0" fontId="17" fillId="0" borderId="2" xfId="14" applyFont="1" applyFill="1" applyBorder="1" applyAlignment="1">
      <alignment vertical="top" wrapText="1"/>
    </xf>
    <xf numFmtId="0" fontId="18" fillId="0" borderId="2" xfId="14" applyFont="1" applyFill="1" applyBorder="1" applyAlignment="1">
      <alignment vertical="top" wrapText="1"/>
    </xf>
    <xf numFmtId="187" fontId="13" fillId="0" borderId="2" xfId="15" applyFont="1" applyFill="1" applyBorder="1" applyAlignment="1">
      <alignment horizontal="left" vertical="top" wrapText="1"/>
    </xf>
    <xf numFmtId="187" fontId="11" fillId="0" borderId="2" xfId="15" applyFont="1" applyFill="1" applyBorder="1" applyAlignment="1">
      <alignment horizontal="left" vertical="top" wrapText="1"/>
    </xf>
    <xf numFmtId="0" fontId="12" fillId="0" borderId="3" xfId="14" applyFont="1" applyFill="1" applyBorder="1" applyAlignment="1">
      <alignment horizontal="center" vertical="center" wrapText="1"/>
    </xf>
    <xf numFmtId="0" fontId="12" fillId="0" borderId="4" xfId="14" applyFont="1" applyFill="1" applyBorder="1" applyAlignment="1">
      <alignment horizontal="center" vertical="center" wrapText="1"/>
    </xf>
    <xf numFmtId="0" fontId="12" fillId="0" borderId="5" xfId="14" applyFont="1" applyFill="1" applyBorder="1" applyAlignment="1">
      <alignment horizontal="center" vertical="center" wrapText="1"/>
    </xf>
    <xf numFmtId="187" fontId="12" fillId="0" borderId="2" xfId="15" applyFont="1" applyFill="1" applyBorder="1" applyAlignment="1">
      <alignment horizontal="left" vertical="top" wrapText="1"/>
    </xf>
    <xf numFmtId="0" fontId="19" fillId="0" borderId="2" xfId="14" applyFont="1" applyFill="1" applyBorder="1" applyAlignment="1">
      <alignment vertical="top" wrapText="1"/>
    </xf>
    <xf numFmtId="0" fontId="12" fillId="0" borderId="6" xfId="14" applyFont="1" applyFill="1" applyBorder="1" applyAlignment="1">
      <alignment horizontal="center" vertical="top" wrapText="1"/>
    </xf>
    <xf numFmtId="0" fontId="12" fillId="0" borderId="6" xfId="14" applyFont="1" applyFill="1" applyBorder="1" applyAlignment="1">
      <alignment horizontal="right" vertical="top" wrapText="1"/>
    </xf>
    <xf numFmtId="0" fontId="14" fillId="0" borderId="6" xfId="14" applyFont="1" applyFill="1" applyBorder="1" applyAlignment="1">
      <alignment horizontal="right" vertical="top" wrapText="1"/>
    </xf>
    <xf numFmtId="0" fontId="15" fillId="0" borderId="6" xfId="14" applyFont="1" applyFill="1" applyBorder="1" applyAlignment="1">
      <alignment horizontal="right" vertical="top" wrapText="1"/>
    </xf>
    <xf numFmtId="187" fontId="12" fillId="0" borderId="6" xfId="15" applyFont="1" applyFill="1" applyBorder="1" applyAlignment="1">
      <alignment horizontal="left" vertical="top" wrapText="1"/>
    </xf>
    <xf numFmtId="0" fontId="11" fillId="0" borderId="0" xfId="14" applyFont="1" applyBorder="1">
      <alignment wrapText="1"/>
    </xf>
    <xf numFmtId="0" fontId="12" fillId="0" borderId="3" xfId="14" applyFont="1" applyFill="1" applyBorder="1" applyAlignment="1">
      <alignment horizontal="center" vertical="top" wrapText="1"/>
    </xf>
    <xf numFmtId="0" fontId="12" fillId="0" borderId="4" xfId="14" applyFont="1" applyFill="1" applyBorder="1" applyAlignment="1">
      <alignment horizontal="center" vertical="top" wrapText="1"/>
    </xf>
    <xf numFmtId="0" fontId="12" fillId="0" borderId="5" xfId="14" applyFont="1" applyFill="1" applyBorder="1" applyAlignment="1">
      <alignment horizontal="center" vertical="top" wrapText="1"/>
    </xf>
    <xf numFmtId="0" fontId="12" fillId="0" borderId="3" xfId="14" applyFont="1" applyFill="1" applyBorder="1" applyAlignment="1">
      <alignment horizontal="center" wrapText="1"/>
    </xf>
    <xf numFmtId="0" fontId="12" fillId="0" borderId="4" xfId="14" applyFont="1" applyFill="1" applyBorder="1" applyAlignment="1">
      <alignment horizontal="center" wrapText="1"/>
    </xf>
    <xf numFmtId="0" fontId="12" fillId="0" borderId="5" xfId="14" applyFont="1" applyFill="1" applyBorder="1" applyAlignment="1">
      <alignment horizontal="center" wrapText="1"/>
    </xf>
    <xf numFmtId="187" fontId="12" fillId="0" borderId="2" xfId="15" applyFont="1" applyFill="1" applyBorder="1" applyAlignment="1">
      <alignment horizontal="left" wrapText="1"/>
    </xf>
    <xf numFmtId="0" fontId="12" fillId="0" borderId="0" xfId="14" applyFont="1" applyFill="1" applyAlignment="1">
      <alignment horizontal="center" wrapText="1"/>
    </xf>
    <xf numFmtId="0" fontId="12" fillId="0" borderId="0" xfId="14" applyFont="1" applyFill="1" applyBorder="1" applyAlignment="1">
      <alignment horizontal="center" wrapText="1"/>
    </xf>
    <xf numFmtId="0" fontId="11" fillId="0" borderId="0" xfId="14" applyFont="1" applyAlignment="1">
      <alignment wrapText="1"/>
    </xf>
    <xf numFmtId="0" fontId="12" fillId="0" borderId="6" xfId="14" applyFont="1" applyFill="1" applyBorder="1" applyAlignment="1">
      <alignment horizontal="center" vertical="center" wrapText="1"/>
    </xf>
    <xf numFmtId="187" fontId="12" fillId="0" borderId="0" xfId="15" applyFont="1" applyFill="1" applyBorder="1" applyAlignment="1">
      <alignment horizontal="left" vertical="top" wrapText="1"/>
    </xf>
    <xf numFmtId="0" fontId="11" fillId="0" borderId="0" xfId="14" applyFont="1" applyAlignment="1">
      <alignment horizontal="left" wrapText="1"/>
    </xf>
    <xf numFmtId="0" fontId="18" fillId="0" borderId="0" xfId="14" applyFont="1" applyAlignment="1">
      <alignment wrapText="1"/>
    </xf>
    <xf numFmtId="0" fontId="18" fillId="0" borderId="0" xfId="14" applyFont="1">
      <alignment wrapText="1"/>
    </xf>
    <xf numFmtId="187" fontId="11" fillId="0" borderId="0" xfId="15" applyFont="1" applyAlignment="1">
      <alignment horizontal="left" wrapText="1"/>
    </xf>
  </cellXfs>
  <cellStyles count="16">
    <cellStyle name="Comma 2" xfId="15"/>
    <cellStyle name="Normal" xfId="0" builtinId="0"/>
    <cellStyle name="Normal 2" xfId="14"/>
    <cellStyle name="เครื่องหมายจุลภาค 2" xfId="3"/>
    <cellStyle name="เครื่องหมายจุลภาค 3" xfId="4"/>
    <cellStyle name="เครื่องหมายจุลภาค 4" xfId="2"/>
    <cellStyle name="เครื่องหมายจุลภาค 5" xfId="5"/>
    <cellStyle name="เครื่องหมายจุลภาค 6" xfId="6"/>
    <cellStyle name="เครื่องหมายจุลภาค 7" xfId="7"/>
    <cellStyle name="ปกติ 2" xfId="8"/>
    <cellStyle name="ปกติ 3" xfId="9"/>
    <cellStyle name="ปกติ 4" xfId="10"/>
    <cellStyle name="ปกติ 5" xfId="11"/>
    <cellStyle name="ปกติ 5 2" xfId="12"/>
    <cellStyle name="ปกติ 6" xfId="1"/>
    <cellStyle name="ปกติ_เหตุ 2 54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58"/>
  <sheetViews>
    <sheetView showGridLines="0" workbookViewId="0">
      <selection activeCell="F13" sqref="F13"/>
    </sheetView>
  </sheetViews>
  <sheetFormatPr defaultRowHeight="21" x14ac:dyDescent="0.35"/>
  <cols>
    <col min="1" max="1" width="42" style="2" customWidth="1"/>
    <col min="2" max="2" width="7.5" style="19" bestFit="1" customWidth="1"/>
    <col min="3" max="4" width="13.75" style="2" bestFit="1" customWidth="1"/>
    <col min="5" max="5" width="12.625" style="2" bestFit="1" customWidth="1"/>
    <col min="6" max="16384" width="9" style="2"/>
  </cols>
  <sheetData>
    <row r="1" spans="1:5" ht="22.5" customHeight="1" x14ac:dyDescent="0.35">
      <c r="A1" s="1" t="s">
        <v>0</v>
      </c>
      <c r="B1" s="1"/>
      <c r="C1" s="1"/>
      <c r="D1" s="1"/>
      <c r="E1" s="1"/>
    </row>
    <row r="2" spans="1:5" ht="20.25" customHeight="1" x14ac:dyDescent="0.35">
      <c r="A2" s="1" t="s">
        <v>1</v>
      </c>
      <c r="B2" s="1"/>
      <c r="C2" s="1"/>
      <c r="D2" s="1"/>
      <c r="E2" s="1"/>
    </row>
    <row r="3" spans="1:5" ht="20.25" customHeight="1" x14ac:dyDescent="0.35">
      <c r="A3" s="1" t="s">
        <v>2</v>
      </c>
      <c r="B3" s="1"/>
      <c r="C3" s="1"/>
      <c r="D3" s="1"/>
      <c r="E3" s="1"/>
    </row>
    <row r="4" spans="1:5" ht="22.5" customHeight="1" thickBot="1" x14ac:dyDescent="0.4">
      <c r="A4" s="3" t="s">
        <v>3</v>
      </c>
      <c r="B4" s="3"/>
      <c r="C4" s="3"/>
      <c r="D4" s="3"/>
      <c r="E4" s="3"/>
    </row>
    <row r="5" spans="1:5" ht="21.75" thickBot="1" x14ac:dyDescent="0.4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</row>
    <row r="6" spans="1:5" s="7" customFormat="1" ht="21.75" thickBot="1" x14ac:dyDescent="0.4">
      <c r="A6" s="5" t="s">
        <v>9</v>
      </c>
      <c r="B6" s="6">
        <v>410000</v>
      </c>
      <c r="C6" s="6"/>
      <c r="D6" s="6"/>
      <c r="E6" s="6"/>
    </row>
    <row r="7" spans="1:5" s="7" customFormat="1" ht="21.75" thickBot="1" x14ac:dyDescent="0.4">
      <c r="A7" s="8" t="s">
        <v>10</v>
      </c>
      <c r="B7" s="6">
        <v>411000</v>
      </c>
      <c r="C7" s="6"/>
      <c r="D7" s="6"/>
      <c r="E7" s="6"/>
    </row>
    <row r="8" spans="1:5" ht="21.75" thickBot="1" x14ac:dyDescent="0.4">
      <c r="A8" s="9" t="s">
        <v>11</v>
      </c>
      <c r="B8" s="10">
        <v>411001</v>
      </c>
      <c r="C8" s="11">
        <v>50000</v>
      </c>
      <c r="D8" s="11">
        <v>0</v>
      </c>
      <c r="E8" s="11">
        <v>0</v>
      </c>
    </row>
    <row r="9" spans="1:5" ht="21.75" thickBot="1" x14ac:dyDescent="0.4">
      <c r="A9" s="9" t="s">
        <v>12</v>
      </c>
      <c r="B9" s="10">
        <v>411002</v>
      </c>
      <c r="C9" s="11">
        <v>60000</v>
      </c>
      <c r="D9" s="11">
        <v>5865.28</v>
      </c>
      <c r="E9" s="11">
        <v>4112.1000000000004</v>
      </c>
    </row>
    <row r="10" spans="1:5" ht="21.75" thickBot="1" x14ac:dyDescent="0.4">
      <c r="A10" s="9" t="s">
        <v>13</v>
      </c>
      <c r="B10" s="10">
        <v>411003</v>
      </c>
      <c r="C10" s="11">
        <v>5000</v>
      </c>
      <c r="D10" s="11">
        <v>0</v>
      </c>
      <c r="E10" s="11">
        <v>0</v>
      </c>
    </row>
    <row r="11" spans="1:5" ht="21.75" thickBot="1" x14ac:dyDescent="0.4">
      <c r="A11" s="12" t="s">
        <v>14</v>
      </c>
      <c r="B11" s="13"/>
      <c r="C11" s="14">
        <f>SUM(C8:C10)</f>
        <v>115000</v>
      </c>
      <c r="D11" s="14">
        <f>SUM(D8:D10)</f>
        <v>5865.28</v>
      </c>
      <c r="E11" s="14">
        <f>SUM(E8:E10)</f>
        <v>4112.1000000000004</v>
      </c>
    </row>
    <row r="12" spans="1:5" ht="22.5" customHeight="1" thickBot="1" x14ac:dyDescent="0.4">
      <c r="A12" s="8" t="s">
        <v>15</v>
      </c>
      <c r="B12" s="13">
        <v>412000</v>
      </c>
      <c r="C12" s="14"/>
      <c r="D12" s="14"/>
      <c r="E12" s="14"/>
    </row>
    <row r="13" spans="1:5" ht="21.75" customHeight="1" thickBot="1" x14ac:dyDescent="0.4">
      <c r="A13" s="9" t="s">
        <v>16</v>
      </c>
      <c r="B13" s="10">
        <v>412103</v>
      </c>
      <c r="C13" s="11">
        <v>1500</v>
      </c>
      <c r="D13" s="11">
        <v>38.799999999999997</v>
      </c>
      <c r="E13" s="11">
        <v>38.799999999999997</v>
      </c>
    </row>
    <row r="14" spans="1:5" ht="21.75" customHeight="1" thickBot="1" x14ac:dyDescent="0.4">
      <c r="A14" s="9" t="s">
        <v>17</v>
      </c>
      <c r="B14" s="10">
        <v>412104</v>
      </c>
      <c r="C14" s="11">
        <v>1000</v>
      </c>
      <c r="D14" s="11">
        <v>0</v>
      </c>
      <c r="E14" s="11">
        <v>0</v>
      </c>
    </row>
    <row r="15" spans="1:5" ht="21.75" customHeight="1" thickBot="1" x14ac:dyDescent="0.4">
      <c r="A15" s="9" t="s">
        <v>18</v>
      </c>
      <c r="B15" s="10">
        <v>412106</v>
      </c>
      <c r="C15" s="11">
        <v>1000</v>
      </c>
      <c r="D15" s="11">
        <v>1024.97</v>
      </c>
      <c r="E15" s="11">
        <v>61.6</v>
      </c>
    </row>
    <row r="16" spans="1:5" ht="21.75" customHeight="1" thickBot="1" x14ac:dyDescent="0.4">
      <c r="A16" s="9" t="s">
        <v>19</v>
      </c>
      <c r="B16" s="10">
        <v>412128</v>
      </c>
      <c r="C16" s="11">
        <v>1000</v>
      </c>
      <c r="D16" s="11">
        <v>100</v>
      </c>
      <c r="E16" s="11">
        <v>100</v>
      </c>
    </row>
    <row r="17" spans="1:5" ht="21.75" thickBot="1" x14ac:dyDescent="0.4">
      <c r="A17" s="9" t="s">
        <v>20</v>
      </c>
      <c r="B17" s="10">
        <v>412210</v>
      </c>
      <c r="C17" s="11">
        <v>35000</v>
      </c>
      <c r="D17" s="11">
        <v>76100</v>
      </c>
      <c r="E17" s="11">
        <v>76100</v>
      </c>
    </row>
    <row r="18" spans="1:5" ht="44.25" customHeight="1" thickBot="1" x14ac:dyDescent="0.4">
      <c r="A18" s="9" t="s">
        <v>21</v>
      </c>
      <c r="B18" s="10">
        <v>412303</v>
      </c>
      <c r="C18" s="11">
        <v>1000</v>
      </c>
      <c r="D18" s="11">
        <v>0</v>
      </c>
      <c r="E18" s="11">
        <v>0</v>
      </c>
    </row>
    <row r="19" spans="1:5" ht="21.75" customHeight="1" thickBot="1" x14ac:dyDescent="0.4">
      <c r="A19" s="9" t="s">
        <v>22</v>
      </c>
      <c r="B19" s="10">
        <v>412307</v>
      </c>
      <c r="C19" s="11">
        <v>500</v>
      </c>
      <c r="D19" s="11">
        <v>80</v>
      </c>
      <c r="E19" s="11">
        <v>20</v>
      </c>
    </row>
    <row r="20" spans="1:5" ht="21.75" thickBot="1" x14ac:dyDescent="0.4">
      <c r="A20" s="12" t="s">
        <v>14</v>
      </c>
      <c r="B20" s="13"/>
      <c r="C20" s="14">
        <f>SUM(C13:C19)</f>
        <v>41000</v>
      </c>
      <c r="D20" s="14">
        <f>SUM(D13:D19)</f>
        <v>77343.77</v>
      </c>
      <c r="E20" s="14">
        <f>SUM(E13:E19)</f>
        <v>76320.399999999994</v>
      </c>
    </row>
    <row r="21" spans="1:5" ht="21.75" thickBot="1" x14ac:dyDescent="0.4">
      <c r="A21" s="15" t="s">
        <v>23</v>
      </c>
      <c r="B21" s="13">
        <v>413000</v>
      </c>
      <c r="C21" s="14"/>
      <c r="D21" s="14"/>
      <c r="E21" s="14"/>
    </row>
    <row r="22" spans="1:5" ht="21.75" thickBot="1" x14ac:dyDescent="0.4">
      <c r="A22" s="9" t="s">
        <v>24</v>
      </c>
      <c r="B22" s="10">
        <v>413003</v>
      </c>
      <c r="C22" s="11">
        <v>150000</v>
      </c>
      <c r="D22" s="11">
        <v>0</v>
      </c>
      <c r="E22" s="11">
        <v>0</v>
      </c>
    </row>
    <row r="23" spans="1:5" ht="21.75" customHeight="1" thickBot="1" x14ac:dyDescent="0.4">
      <c r="A23" s="12" t="s">
        <v>14</v>
      </c>
      <c r="B23" s="13"/>
      <c r="C23" s="14">
        <v>150000</v>
      </c>
      <c r="D23" s="14">
        <f>D22</f>
        <v>0</v>
      </c>
      <c r="E23" s="14">
        <f>E22</f>
        <v>0</v>
      </c>
    </row>
    <row r="24" spans="1:5" ht="21.75" customHeight="1" thickBot="1" x14ac:dyDescent="0.4">
      <c r="A24" s="15" t="s">
        <v>25</v>
      </c>
      <c r="B24" s="13">
        <v>415000</v>
      </c>
      <c r="C24" s="14"/>
      <c r="D24" s="14"/>
      <c r="E24" s="14"/>
    </row>
    <row r="25" spans="1:5" ht="21.75" thickBot="1" x14ac:dyDescent="0.4">
      <c r="A25" s="9" t="s">
        <v>26</v>
      </c>
      <c r="B25" s="10">
        <v>415004</v>
      </c>
      <c r="C25" s="11">
        <v>100000</v>
      </c>
      <c r="D25" s="11">
        <v>65000</v>
      </c>
      <c r="E25" s="11">
        <v>0</v>
      </c>
    </row>
    <row r="26" spans="1:5" ht="21.75" thickBot="1" x14ac:dyDescent="0.4">
      <c r="A26" s="9" t="s">
        <v>27</v>
      </c>
      <c r="B26" s="10">
        <v>415999</v>
      </c>
      <c r="C26" s="11">
        <v>20000</v>
      </c>
      <c r="D26" s="11">
        <v>2400</v>
      </c>
      <c r="E26" s="11">
        <v>0</v>
      </c>
    </row>
    <row r="27" spans="1:5" ht="21.75" thickBot="1" x14ac:dyDescent="0.4">
      <c r="A27" s="12" t="s">
        <v>14</v>
      </c>
      <c r="B27" s="13"/>
      <c r="C27" s="14">
        <f>SUM(C25:C26)</f>
        <v>120000</v>
      </c>
      <c r="D27" s="14">
        <f>SUM(D25:D26)</f>
        <v>67400</v>
      </c>
      <c r="E27" s="14">
        <f>SUM(E25:E26)</f>
        <v>0</v>
      </c>
    </row>
    <row r="28" spans="1:5" ht="23.25" customHeight="1" thickBot="1" x14ac:dyDescent="0.4">
      <c r="A28" s="8" t="s">
        <v>28</v>
      </c>
      <c r="B28" s="13">
        <v>420000</v>
      </c>
      <c r="C28" s="14"/>
      <c r="D28" s="14"/>
      <c r="E28" s="14"/>
    </row>
    <row r="29" spans="1:5" ht="21.75" thickBot="1" x14ac:dyDescent="0.4">
      <c r="A29" s="15" t="s">
        <v>29</v>
      </c>
      <c r="B29" s="13">
        <v>421000</v>
      </c>
      <c r="C29" s="14"/>
      <c r="D29" s="14"/>
      <c r="E29" s="14"/>
    </row>
    <row r="30" spans="1:5" ht="21.75" customHeight="1" thickBot="1" x14ac:dyDescent="0.4">
      <c r="A30" s="9" t="s">
        <v>30</v>
      </c>
      <c r="B30" s="10">
        <v>421001</v>
      </c>
      <c r="C30" s="11">
        <v>754000</v>
      </c>
      <c r="D30" s="11">
        <v>0</v>
      </c>
      <c r="E30" s="11">
        <v>0</v>
      </c>
    </row>
    <row r="31" spans="1:5" ht="21.75" customHeight="1" thickBot="1" x14ac:dyDescent="0.4">
      <c r="A31" s="9" t="s">
        <v>31</v>
      </c>
      <c r="B31" s="10">
        <v>421002</v>
      </c>
      <c r="C31" s="11">
        <v>8517000</v>
      </c>
      <c r="D31" s="11">
        <v>1950194.93</v>
      </c>
      <c r="E31" s="11">
        <v>656885.79</v>
      </c>
    </row>
    <row r="32" spans="1:5" ht="21.75" customHeight="1" thickBot="1" x14ac:dyDescent="0.4">
      <c r="A32" s="9" t="s">
        <v>32</v>
      </c>
      <c r="B32" s="10">
        <v>421004</v>
      </c>
      <c r="C32" s="11">
        <v>3300000</v>
      </c>
      <c r="D32" s="11">
        <v>763630.03</v>
      </c>
      <c r="E32" s="11">
        <v>262400.39</v>
      </c>
    </row>
    <row r="33" spans="1:5" ht="21.75" thickBot="1" x14ac:dyDescent="0.4">
      <c r="A33" s="9" t="s">
        <v>33</v>
      </c>
      <c r="B33" s="10">
        <v>421005</v>
      </c>
      <c r="C33" s="11">
        <v>200000</v>
      </c>
      <c r="D33" s="11">
        <v>0</v>
      </c>
      <c r="E33" s="11">
        <v>0</v>
      </c>
    </row>
    <row r="34" spans="1:5" ht="21.75" thickBot="1" x14ac:dyDescent="0.4">
      <c r="A34" s="9" t="s">
        <v>34</v>
      </c>
      <c r="B34" s="10">
        <v>421006</v>
      </c>
      <c r="C34" s="11">
        <v>2500000</v>
      </c>
      <c r="D34" s="11">
        <v>366729.04</v>
      </c>
      <c r="E34" s="11">
        <v>131105.32999999999</v>
      </c>
    </row>
    <row r="35" spans="1:5" ht="21.75" thickBot="1" x14ac:dyDescent="0.4">
      <c r="A35" s="4" t="s">
        <v>4</v>
      </c>
      <c r="B35" s="4" t="s">
        <v>5</v>
      </c>
      <c r="C35" s="4" t="s">
        <v>6</v>
      </c>
      <c r="D35" s="4" t="s">
        <v>35</v>
      </c>
      <c r="E35" s="4" t="s">
        <v>35</v>
      </c>
    </row>
    <row r="36" spans="1:5" ht="21.75" thickBot="1" x14ac:dyDescent="0.4">
      <c r="A36" s="9" t="s">
        <v>36</v>
      </c>
      <c r="B36" s="10">
        <v>421007</v>
      </c>
      <c r="C36" s="11">
        <v>3500000</v>
      </c>
      <c r="D36" s="11">
        <v>748919.37</v>
      </c>
      <c r="E36" s="11">
        <v>246695.27</v>
      </c>
    </row>
    <row r="37" spans="1:5" ht="21.75" thickBot="1" x14ac:dyDescent="0.4">
      <c r="A37" s="9" t="s">
        <v>37</v>
      </c>
      <c r="B37" s="10">
        <v>421012</v>
      </c>
      <c r="C37" s="11">
        <v>150000</v>
      </c>
      <c r="D37" s="11">
        <v>0</v>
      </c>
      <c r="E37" s="11">
        <v>0</v>
      </c>
    </row>
    <row r="38" spans="1:5" ht="21.75" thickBot="1" x14ac:dyDescent="0.4">
      <c r="A38" s="9" t="s">
        <v>38</v>
      </c>
      <c r="B38" s="10">
        <v>421013</v>
      </c>
      <c r="C38" s="11">
        <v>120000</v>
      </c>
      <c r="D38" s="11">
        <v>16473.87</v>
      </c>
      <c r="E38" s="11">
        <v>0</v>
      </c>
    </row>
    <row r="39" spans="1:5" ht="21.75" customHeight="1" thickBot="1" x14ac:dyDescent="0.4">
      <c r="A39" s="9" t="s">
        <v>39</v>
      </c>
      <c r="B39" s="10">
        <v>421014</v>
      </c>
      <c r="C39" s="11">
        <v>5000</v>
      </c>
      <c r="D39" s="11">
        <v>0</v>
      </c>
      <c r="E39" s="11">
        <v>0</v>
      </c>
    </row>
    <row r="40" spans="1:5" ht="43.5" customHeight="1" thickBot="1" x14ac:dyDescent="0.4">
      <c r="A40" s="9" t="s">
        <v>40</v>
      </c>
      <c r="B40" s="10">
        <v>421015</v>
      </c>
      <c r="C40" s="11">
        <v>450000</v>
      </c>
      <c r="D40" s="11">
        <v>126870</v>
      </c>
      <c r="E40" s="11">
        <v>44325</v>
      </c>
    </row>
    <row r="41" spans="1:5" ht="25.5" customHeight="1" thickBot="1" x14ac:dyDescent="0.4">
      <c r="A41" s="12" t="s">
        <v>14</v>
      </c>
      <c r="B41" s="13"/>
      <c r="C41" s="14">
        <f>SUM(C30:C40)</f>
        <v>19496000</v>
      </c>
      <c r="D41" s="14">
        <f>SUM(D30:D40)</f>
        <v>3972817.24</v>
      </c>
      <c r="E41" s="14">
        <f>SUM(E30:E40)</f>
        <v>1341411.78</v>
      </c>
    </row>
    <row r="42" spans="1:5" ht="21.75" thickBot="1" x14ac:dyDescent="0.4">
      <c r="A42" s="8" t="s">
        <v>41</v>
      </c>
      <c r="B42" s="13">
        <v>430000</v>
      </c>
      <c r="C42" s="14"/>
      <c r="D42" s="14"/>
      <c r="E42" s="14"/>
    </row>
    <row r="43" spans="1:5" ht="21.75" thickBot="1" x14ac:dyDescent="0.4">
      <c r="A43" s="15" t="s">
        <v>42</v>
      </c>
      <c r="B43" s="13">
        <v>431000</v>
      </c>
      <c r="C43" s="14"/>
      <c r="D43" s="14"/>
      <c r="E43" s="14"/>
    </row>
    <row r="44" spans="1:5" ht="43.5" customHeight="1" thickBot="1" x14ac:dyDescent="0.4">
      <c r="A44" s="9" t="s">
        <v>43</v>
      </c>
      <c r="B44" s="10">
        <v>431002</v>
      </c>
      <c r="C44" s="11">
        <v>13000000</v>
      </c>
      <c r="D44" s="11">
        <v>3668159</v>
      </c>
      <c r="E44" s="11">
        <v>0</v>
      </c>
    </row>
    <row r="45" spans="1:5" ht="21.75" thickBot="1" x14ac:dyDescent="0.4">
      <c r="A45" s="12" t="s">
        <v>14</v>
      </c>
      <c r="B45" s="13"/>
      <c r="C45" s="14">
        <v>13000000</v>
      </c>
      <c r="D45" s="14">
        <f>D44</f>
        <v>3668159</v>
      </c>
      <c r="E45" s="14">
        <f>E44</f>
        <v>0</v>
      </c>
    </row>
    <row r="46" spans="1:5" ht="22.5" customHeight="1" thickBot="1" x14ac:dyDescent="0.4">
      <c r="A46" s="8" t="s">
        <v>44</v>
      </c>
      <c r="B46" s="13">
        <v>440000</v>
      </c>
      <c r="C46" s="14"/>
      <c r="D46" s="14"/>
      <c r="E46" s="14"/>
    </row>
    <row r="47" spans="1:5" ht="21.75" thickBot="1" x14ac:dyDescent="0.4">
      <c r="A47" s="8" t="s">
        <v>45</v>
      </c>
      <c r="B47" s="13">
        <v>441000</v>
      </c>
      <c r="C47" s="14"/>
      <c r="D47" s="14"/>
      <c r="E47" s="14"/>
    </row>
    <row r="48" spans="1:5" ht="42.75" thickBot="1" x14ac:dyDescent="0.4">
      <c r="A48" s="9" t="s">
        <v>46</v>
      </c>
      <c r="B48" s="10">
        <v>441001</v>
      </c>
      <c r="C48" s="14"/>
      <c r="D48" s="14">
        <v>5640730</v>
      </c>
      <c r="E48" s="14">
        <v>2186000</v>
      </c>
    </row>
    <row r="49" spans="1:5" ht="25.5" customHeight="1" thickBot="1" x14ac:dyDescent="0.4">
      <c r="A49" s="9" t="s">
        <v>47</v>
      </c>
      <c r="B49" s="10">
        <v>441002</v>
      </c>
      <c r="C49" s="14"/>
      <c r="D49" s="14">
        <v>0</v>
      </c>
      <c r="E49" s="14">
        <v>0</v>
      </c>
    </row>
    <row r="50" spans="1:5" ht="25.5" customHeight="1" thickBot="1" x14ac:dyDescent="0.4">
      <c r="A50" s="12" t="s">
        <v>14</v>
      </c>
      <c r="B50" s="10"/>
      <c r="C50" s="14"/>
      <c r="D50" s="14">
        <f>SUM(D48:D49)</f>
        <v>5640730</v>
      </c>
      <c r="E50" s="14">
        <f>SUM(E48:E49)</f>
        <v>2186000</v>
      </c>
    </row>
    <row r="51" spans="1:5" ht="27" customHeight="1" thickBot="1" x14ac:dyDescent="0.4">
      <c r="A51" s="12" t="s">
        <v>48</v>
      </c>
      <c r="B51" s="13"/>
      <c r="C51" s="14">
        <f>C11+C20+C23+C27+C41+C45</f>
        <v>32922000</v>
      </c>
      <c r="D51" s="14">
        <f>D11+D20+D23+D27+D41+D45</f>
        <v>7791585.29</v>
      </c>
      <c r="E51" s="14">
        <f>E11+E20+E23+E27+E41+E45</f>
        <v>1421844.28</v>
      </c>
    </row>
    <row r="52" spans="1:5" ht="25.5" customHeight="1" thickBot="1" x14ac:dyDescent="0.4">
      <c r="A52" s="12" t="s">
        <v>49</v>
      </c>
      <c r="B52" s="13"/>
      <c r="C52" s="14">
        <v>32922000</v>
      </c>
      <c r="D52" s="14">
        <f>D50+D51</f>
        <v>13432315.289999999</v>
      </c>
      <c r="E52" s="14">
        <f>E50+E51</f>
        <v>3607844.2800000003</v>
      </c>
    </row>
    <row r="56" spans="1:5" x14ac:dyDescent="0.35">
      <c r="A56" s="16"/>
      <c r="B56" s="16"/>
      <c r="C56" s="17"/>
      <c r="D56" s="16"/>
      <c r="E56" s="18"/>
    </row>
    <row r="57" spans="1:5" x14ac:dyDescent="0.35">
      <c r="A57" s="16"/>
      <c r="B57" s="16"/>
      <c r="C57" s="16"/>
      <c r="D57" s="16"/>
      <c r="E57" s="18"/>
    </row>
    <row r="58" spans="1:5" x14ac:dyDescent="0.35">
      <c r="A58" s="16"/>
      <c r="B58" s="16"/>
      <c r="C58" s="16"/>
      <c r="D58" s="16"/>
      <c r="E58" s="18"/>
    </row>
  </sheetData>
  <mergeCells count="4">
    <mergeCell ref="A1:E1"/>
    <mergeCell ref="A2:E2"/>
    <mergeCell ref="A3:E3"/>
    <mergeCell ref="A4:E4"/>
  </mergeCells>
  <pageMargins left="0.39370078740157483" right="0.19685039370078741" top="0.47244094488188981" bottom="0.47244094488188981" header="0.47244094488188981" footer="0.47244094488188981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226"/>
  <sheetViews>
    <sheetView showGridLines="0" tabSelected="1" zoomScale="120" zoomScaleNormal="120" workbookViewId="0">
      <selection activeCell="D8" sqref="D8"/>
    </sheetView>
  </sheetViews>
  <sheetFormatPr defaultRowHeight="39.950000000000003" customHeight="1" x14ac:dyDescent="0.3"/>
  <cols>
    <col min="1" max="1" width="16" style="61" customWidth="1"/>
    <col min="2" max="2" width="9.75" style="21" customWidth="1"/>
    <col min="3" max="3" width="22.625" style="62" customWidth="1"/>
    <col min="4" max="4" width="13.75" style="63" customWidth="1"/>
    <col min="5" max="5" width="12.375" style="64" bestFit="1" customWidth="1"/>
    <col min="6" max="7" width="9.625" style="64" bestFit="1" customWidth="1"/>
    <col min="8" max="8" width="11.125" style="64" bestFit="1" customWidth="1"/>
    <col min="9" max="9" width="10.875" style="64" bestFit="1" customWidth="1"/>
    <col min="10" max="10" width="13" style="64" customWidth="1"/>
    <col min="11" max="11" width="4.875" style="21" customWidth="1"/>
    <col min="12" max="13" width="0.125" style="21" customWidth="1"/>
    <col min="14" max="16384" width="9" style="21"/>
  </cols>
  <sheetData>
    <row r="1" spans="1:13" ht="26.25" customHeight="1" x14ac:dyDescent="0.3">
      <c r="A1" s="20" t="s">
        <v>50</v>
      </c>
      <c r="B1" s="20"/>
      <c r="C1" s="20"/>
      <c r="D1" s="20"/>
      <c r="E1" s="20"/>
      <c r="F1" s="20"/>
      <c r="G1" s="20"/>
      <c r="H1" s="20"/>
      <c r="I1" s="20"/>
      <c r="J1" s="20"/>
    </row>
    <row r="2" spans="1:13" ht="21.95" customHeight="1" x14ac:dyDescent="0.3">
      <c r="A2" s="20" t="s">
        <v>51</v>
      </c>
      <c r="B2" s="20"/>
      <c r="C2" s="20"/>
      <c r="D2" s="20"/>
      <c r="E2" s="20"/>
      <c r="F2" s="20"/>
      <c r="G2" s="20"/>
      <c r="H2" s="20"/>
      <c r="I2" s="20"/>
      <c r="J2" s="20"/>
      <c r="K2" s="22"/>
      <c r="L2" s="22"/>
      <c r="M2" s="23"/>
    </row>
    <row r="3" spans="1:13" ht="21.95" customHeight="1" x14ac:dyDescent="0.3">
      <c r="A3" s="20" t="s">
        <v>52</v>
      </c>
      <c r="B3" s="20"/>
      <c r="C3" s="20"/>
      <c r="D3" s="20"/>
      <c r="E3" s="20"/>
      <c r="F3" s="20"/>
      <c r="G3" s="20"/>
      <c r="H3" s="20"/>
      <c r="I3" s="20"/>
      <c r="J3" s="20"/>
      <c r="K3" s="24"/>
      <c r="L3" s="22"/>
      <c r="M3" s="23"/>
    </row>
    <row r="4" spans="1:13" ht="21.95" customHeight="1" thickBot="1" x14ac:dyDescent="0.35">
      <c r="A4" s="25" t="s">
        <v>53</v>
      </c>
      <c r="B4" s="25"/>
      <c r="C4" s="25"/>
      <c r="D4" s="25"/>
      <c r="E4" s="25"/>
      <c r="F4" s="25"/>
      <c r="G4" s="25"/>
      <c r="H4" s="25"/>
      <c r="I4" s="25"/>
      <c r="J4" s="25"/>
      <c r="K4" s="24"/>
      <c r="L4" s="22"/>
      <c r="M4" s="23"/>
    </row>
    <row r="5" spans="1:13" s="31" customFormat="1" ht="39.950000000000003" customHeight="1" thickBot="1" x14ac:dyDescent="0.35">
      <c r="A5" s="26" t="s">
        <v>54</v>
      </c>
      <c r="B5" s="26" t="s">
        <v>55</v>
      </c>
      <c r="C5" s="27" t="s">
        <v>56</v>
      </c>
      <c r="D5" s="28" t="s">
        <v>57</v>
      </c>
      <c r="E5" s="29" t="s">
        <v>58</v>
      </c>
      <c r="F5" s="29" t="s">
        <v>59</v>
      </c>
      <c r="G5" s="30" t="s">
        <v>60</v>
      </c>
      <c r="H5" s="30" t="s">
        <v>61</v>
      </c>
      <c r="I5" s="29" t="s">
        <v>62</v>
      </c>
      <c r="J5" s="29" t="s">
        <v>63</v>
      </c>
      <c r="K5" s="23"/>
      <c r="L5" s="22"/>
      <c r="M5" s="23"/>
    </row>
    <row r="6" spans="1:13" ht="39.950000000000003" customHeight="1" thickBot="1" x14ac:dyDescent="0.35">
      <c r="A6" s="32" t="s">
        <v>64</v>
      </c>
      <c r="B6" s="33" t="s">
        <v>65</v>
      </c>
      <c r="C6" s="34" t="s">
        <v>66</v>
      </c>
      <c r="D6" s="35"/>
      <c r="E6" s="36">
        <v>514080</v>
      </c>
      <c r="F6" s="36">
        <v>0</v>
      </c>
      <c r="G6" s="37">
        <v>0</v>
      </c>
      <c r="H6" s="37">
        <v>42840</v>
      </c>
      <c r="I6" s="36">
        <f>H6+42840+42840</f>
        <v>128520</v>
      </c>
      <c r="J6" s="36">
        <f>E6+F6-G6-I6</f>
        <v>385560</v>
      </c>
      <c r="K6" s="23"/>
      <c r="L6" s="22"/>
      <c r="M6" s="23"/>
    </row>
    <row r="7" spans="1:13" ht="39.950000000000003" customHeight="1" thickBot="1" x14ac:dyDescent="0.35">
      <c r="A7" s="32" t="s">
        <v>64</v>
      </c>
      <c r="B7" s="33" t="s">
        <v>65</v>
      </c>
      <c r="C7" s="34" t="s">
        <v>67</v>
      </c>
      <c r="D7" s="35"/>
      <c r="E7" s="36">
        <v>42120</v>
      </c>
      <c r="F7" s="36">
        <v>0</v>
      </c>
      <c r="G7" s="37">
        <v>0</v>
      </c>
      <c r="H7" s="37">
        <v>3510</v>
      </c>
      <c r="I7" s="36">
        <f>H7+3510+3510</f>
        <v>10530</v>
      </c>
      <c r="J7" s="36">
        <f>E7+F7-G7-I7</f>
        <v>31590</v>
      </c>
      <c r="K7" s="23"/>
      <c r="L7" s="22"/>
      <c r="M7" s="23"/>
    </row>
    <row r="8" spans="1:13" ht="39.950000000000003" customHeight="1" thickBot="1" x14ac:dyDescent="0.35">
      <c r="A8" s="32" t="s">
        <v>64</v>
      </c>
      <c r="B8" s="33" t="s">
        <v>65</v>
      </c>
      <c r="C8" s="34" t="s">
        <v>68</v>
      </c>
      <c r="D8" s="35"/>
      <c r="E8" s="36">
        <v>42120</v>
      </c>
      <c r="F8" s="36">
        <v>0</v>
      </c>
      <c r="G8" s="37">
        <v>0</v>
      </c>
      <c r="H8" s="37">
        <v>3510</v>
      </c>
      <c r="I8" s="36">
        <f>H8+3510+3510</f>
        <v>10530</v>
      </c>
      <c r="J8" s="36">
        <f>E8+F8-G8-I8</f>
        <v>31590</v>
      </c>
      <c r="K8" s="23"/>
      <c r="L8" s="22"/>
      <c r="M8" s="23"/>
    </row>
    <row r="9" spans="1:13" ht="49.5" customHeight="1" thickBot="1" x14ac:dyDescent="0.35">
      <c r="A9" s="32" t="s">
        <v>64</v>
      </c>
      <c r="B9" s="33" t="s">
        <v>65</v>
      </c>
      <c r="C9" s="34" t="s">
        <v>69</v>
      </c>
      <c r="D9" s="35"/>
      <c r="E9" s="36">
        <v>86400</v>
      </c>
      <c r="F9" s="36">
        <v>0</v>
      </c>
      <c r="G9" s="37">
        <v>0</v>
      </c>
      <c r="H9" s="37">
        <v>7200</v>
      </c>
      <c r="I9" s="36">
        <f>H9+7200+7200</f>
        <v>21600</v>
      </c>
      <c r="J9" s="36">
        <f>E9+F9-G9-I9</f>
        <v>64800</v>
      </c>
      <c r="K9" s="23"/>
      <c r="L9" s="22"/>
      <c r="M9" s="23"/>
    </row>
    <row r="10" spans="1:13" ht="39.950000000000003" customHeight="1" thickBot="1" x14ac:dyDescent="0.35">
      <c r="A10" s="32" t="s">
        <v>64</v>
      </c>
      <c r="B10" s="33" t="s">
        <v>65</v>
      </c>
      <c r="C10" s="34" t="s">
        <v>70</v>
      </c>
      <c r="D10" s="35"/>
      <c r="E10" s="36">
        <v>2750400</v>
      </c>
      <c r="F10" s="36">
        <v>0</v>
      </c>
      <c r="G10" s="37">
        <v>80000</v>
      </c>
      <c r="H10" s="37">
        <v>222000</v>
      </c>
      <c r="I10" s="36">
        <f>H10+222000+222000</f>
        <v>666000</v>
      </c>
      <c r="J10" s="36">
        <f>E10+F10-G10-I10</f>
        <v>2004400</v>
      </c>
      <c r="K10" s="23"/>
      <c r="L10" s="22"/>
      <c r="M10" s="23"/>
    </row>
    <row r="11" spans="1:13" ht="23.25" customHeight="1" thickBot="1" x14ac:dyDescent="0.35">
      <c r="A11" s="38" t="s">
        <v>71</v>
      </c>
      <c r="B11" s="39"/>
      <c r="C11" s="39"/>
      <c r="D11" s="40"/>
      <c r="E11" s="41">
        <f t="shared" ref="E11:J11" si="0">SUM(E6:E10)</f>
        <v>3435120</v>
      </c>
      <c r="F11" s="41">
        <f t="shared" si="0"/>
        <v>0</v>
      </c>
      <c r="G11" s="41">
        <f t="shared" si="0"/>
        <v>80000</v>
      </c>
      <c r="H11" s="41">
        <f t="shared" si="0"/>
        <v>279060</v>
      </c>
      <c r="I11" s="41">
        <f t="shared" si="0"/>
        <v>837180</v>
      </c>
      <c r="J11" s="41">
        <f t="shared" si="0"/>
        <v>2517940</v>
      </c>
      <c r="K11" s="23"/>
      <c r="L11" s="22"/>
      <c r="M11" s="23"/>
    </row>
    <row r="12" spans="1:13" ht="39.950000000000003" customHeight="1" thickBot="1" x14ac:dyDescent="0.35">
      <c r="A12" s="32" t="s">
        <v>64</v>
      </c>
      <c r="B12" s="33" t="s">
        <v>72</v>
      </c>
      <c r="C12" s="34" t="s">
        <v>73</v>
      </c>
      <c r="D12" s="35"/>
      <c r="E12" s="36">
        <v>2938440</v>
      </c>
      <c r="F12" s="36">
        <v>0</v>
      </c>
      <c r="G12" s="37">
        <v>0</v>
      </c>
      <c r="H12" s="37">
        <v>233390</v>
      </c>
      <c r="I12" s="36">
        <f>H12+235096.45+233390</f>
        <v>701876.45</v>
      </c>
      <c r="J12" s="36">
        <f>E12+F12-G12-I12</f>
        <v>2236563.5499999998</v>
      </c>
      <c r="K12" s="23"/>
      <c r="L12" s="22"/>
      <c r="M12" s="23"/>
    </row>
    <row r="13" spans="1:13" ht="39.950000000000003" customHeight="1" thickBot="1" x14ac:dyDescent="0.35">
      <c r="A13" s="32" t="s">
        <v>64</v>
      </c>
      <c r="B13" s="33" t="s">
        <v>72</v>
      </c>
      <c r="C13" s="34" t="s">
        <v>74</v>
      </c>
      <c r="D13" s="35"/>
      <c r="E13" s="36">
        <v>0</v>
      </c>
      <c r="F13" s="36">
        <v>145000</v>
      </c>
      <c r="G13" s="37">
        <v>0</v>
      </c>
      <c r="H13" s="37">
        <v>4500</v>
      </c>
      <c r="I13" s="36">
        <f>H13+93857.14+4500</f>
        <v>102857.14</v>
      </c>
      <c r="J13" s="36">
        <f>E13+F13-G13-I13</f>
        <v>42142.86</v>
      </c>
      <c r="K13" s="23"/>
      <c r="L13" s="22"/>
      <c r="M13" s="23"/>
    </row>
    <row r="14" spans="1:13" ht="39.950000000000003" customHeight="1" thickBot="1" x14ac:dyDescent="0.35">
      <c r="A14" s="32" t="s">
        <v>64</v>
      </c>
      <c r="B14" s="33" t="s">
        <v>72</v>
      </c>
      <c r="C14" s="34" t="s">
        <v>75</v>
      </c>
      <c r="D14" s="35"/>
      <c r="E14" s="36">
        <v>260400</v>
      </c>
      <c r="F14" s="36">
        <v>0</v>
      </c>
      <c r="G14" s="37">
        <v>0</v>
      </c>
      <c r="H14" s="37">
        <v>21700</v>
      </c>
      <c r="I14" s="36">
        <f>H14+21700+21700</f>
        <v>65100</v>
      </c>
      <c r="J14" s="36">
        <f>E14+F14-G14-I14</f>
        <v>195300</v>
      </c>
      <c r="K14" s="23"/>
      <c r="L14" s="22"/>
      <c r="M14" s="23"/>
    </row>
    <row r="15" spans="1:13" ht="39.950000000000003" customHeight="1" thickBot="1" x14ac:dyDescent="0.35">
      <c r="A15" s="32" t="s">
        <v>64</v>
      </c>
      <c r="B15" s="33" t="s">
        <v>72</v>
      </c>
      <c r="C15" s="34" t="s">
        <v>76</v>
      </c>
      <c r="D15" s="35"/>
      <c r="E15" s="36">
        <v>600600</v>
      </c>
      <c r="F15" s="36">
        <v>0</v>
      </c>
      <c r="G15" s="37">
        <v>0</v>
      </c>
      <c r="H15" s="37">
        <v>47480</v>
      </c>
      <c r="I15" s="36">
        <f>H15+47480+47480</f>
        <v>142440</v>
      </c>
      <c r="J15" s="36">
        <f>E15+F15-G15-I15</f>
        <v>458160</v>
      </c>
      <c r="K15" s="23"/>
      <c r="L15" s="22"/>
      <c r="M15" s="23"/>
    </row>
    <row r="16" spans="1:13" s="31" customFormat="1" ht="39.950000000000003" customHeight="1" thickBot="1" x14ac:dyDescent="0.35">
      <c r="A16" s="26" t="s">
        <v>54</v>
      </c>
      <c r="B16" s="26" t="s">
        <v>55</v>
      </c>
      <c r="C16" s="27" t="s">
        <v>56</v>
      </c>
      <c r="D16" s="28" t="s">
        <v>57</v>
      </c>
      <c r="E16" s="29" t="s">
        <v>58</v>
      </c>
      <c r="F16" s="29" t="s">
        <v>59</v>
      </c>
      <c r="G16" s="30" t="s">
        <v>60</v>
      </c>
      <c r="H16" s="30" t="s">
        <v>61</v>
      </c>
      <c r="I16" s="29" t="s">
        <v>62</v>
      </c>
      <c r="J16" s="29" t="s">
        <v>63</v>
      </c>
      <c r="K16" s="23"/>
      <c r="L16" s="22"/>
      <c r="M16" s="23"/>
    </row>
    <row r="17" spans="1:13" ht="39.950000000000003" customHeight="1" thickBot="1" x14ac:dyDescent="0.35">
      <c r="A17" s="32" t="s">
        <v>64</v>
      </c>
      <c r="B17" s="33" t="s">
        <v>72</v>
      </c>
      <c r="C17" s="34" t="s">
        <v>77</v>
      </c>
      <c r="D17" s="35"/>
      <c r="E17" s="36">
        <v>15000</v>
      </c>
      <c r="F17" s="36">
        <v>0</v>
      </c>
      <c r="G17" s="37">
        <v>0</v>
      </c>
      <c r="H17" s="37">
        <v>955</v>
      </c>
      <c r="I17" s="36">
        <f>H17+955+955</f>
        <v>2865</v>
      </c>
      <c r="J17" s="36">
        <f>E17+F17-G17-I17</f>
        <v>12135</v>
      </c>
      <c r="K17" s="23"/>
      <c r="L17" s="22"/>
      <c r="M17" s="23"/>
    </row>
    <row r="18" spans="1:13" ht="39.950000000000003" customHeight="1" thickBot="1" x14ac:dyDescent="0.35">
      <c r="A18" s="32" t="s">
        <v>64</v>
      </c>
      <c r="B18" s="33" t="s">
        <v>72</v>
      </c>
      <c r="C18" s="34" t="s">
        <v>78</v>
      </c>
      <c r="D18" s="35"/>
      <c r="E18" s="36">
        <v>1011960</v>
      </c>
      <c r="F18" s="36">
        <v>0</v>
      </c>
      <c r="G18" s="37">
        <v>65000</v>
      </c>
      <c r="H18" s="37">
        <v>69470</v>
      </c>
      <c r="I18" s="36">
        <f>H18+76630+69470</f>
        <v>215570</v>
      </c>
      <c r="J18" s="36">
        <f>E18+F18-G18-I18</f>
        <v>731390</v>
      </c>
      <c r="K18" s="23"/>
      <c r="L18" s="22"/>
      <c r="M18" s="23"/>
    </row>
    <row r="19" spans="1:13" ht="39.950000000000003" customHeight="1" thickBot="1" x14ac:dyDescent="0.35">
      <c r="A19" s="32" t="s">
        <v>64</v>
      </c>
      <c r="B19" s="33" t="s">
        <v>72</v>
      </c>
      <c r="C19" s="34" t="s">
        <v>79</v>
      </c>
      <c r="D19" s="35"/>
      <c r="E19" s="36">
        <v>96000</v>
      </c>
      <c r="F19" s="36">
        <v>0</v>
      </c>
      <c r="G19" s="37">
        <v>0</v>
      </c>
      <c r="H19" s="37">
        <v>7000</v>
      </c>
      <c r="I19" s="36">
        <f>H19+7000+7000</f>
        <v>21000</v>
      </c>
      <c r="J19" s="36">
        <f>E19+F19-G19-I19</f>
        <v>75000</v>
      </c>
      <c r="K19" s="23"/>
      <c r="L19" s="22"/>
      <c r="M19" s="23"/>
    </row>
    <row r="20" spans="1:13" ht="21.75" customHeight="1" thickBot="1" x14ac:dyDescent="0.35">
      <c r="A20" s="38" t="s">
        <v>80</v>
      </c>
      <c r="B20" s="39"/>
      <c r="C20" s="39"/>
      <c r="D20" s="40"/>
      <c r="E20" s="41">
        <f t="shared" ref="E20:J20" si="1">SUM(E12:E19)</f>
        <v>4922400</v>
      </c>
      <c r="F20" s="41">
        <f t="shared" si="1"/>
        <v>145000</v>
      </c>
      <c r="G20" s="41">
        <f t="shared" si="1"/>
        <v>65000</v>
      </c>
      <c r="H20" s="41">
        <f t="shared" si="1"/>
        <v>384495</v>
      </c>
      <c r="I20" s="41">
        <f t="shared" si="1"/>
        <v>1251708.5899999999</v>
      </c>
      <c r="J20" s="41">
        <f t="shared" si="1"/>
        <v>3750691.4099999997</v>
      </c>
      <c r="K20" s="23"/>
      <c r="L20" s="22"/>
      <c r="M20" s="23"/>
    </row>
    <row r="21" spans="1:13" ht="39.950000000000003" customHeight="1" thickBot="1" x14ac:dyDescent="0.35">
      <c r="A21" s="32" t="s">
        <v>64</v>
      </c>
      <c r="B21" s="33" t="s">
        <v>81</v>
      </c>
      <c r="C21" s="34" t="s">
        <v>82</v>
      </c>
      <c r="D21" s="35"/>
      <c r="E21" s="36">
        <v>399250</v>
      </c>
      <c r="F21" s="36">
        <v>0</v>
      </c>
      <c r="G21" s="37">
        <v>0</v>
      </c>
      <c r="H21" s="37">
        <v>0</v>
      </c>
      <c r="I21" s="36">
        <v>0</v>
      </c>
      <c r="J21" s="36">
        <f>E21+F21-G21-I21</f>
        <v>399250</v>
      </c>
      <c r="K21" s="23"/>
      <c r="L21" s="22"/>
      <c r="M21" s="23"/>
    </row>
    <row r="22" spans="1:13" ht="39.950000000000003" customHeight="1" thickBot="1" x14ac:dyDescent="0.35">
      <c r="A22" s="32" t="s">
        <v>64</v>
      </c>
      <c r="B22" s="33" t="s">
        <v>81</v>
      </c>
      <c r="C22" s="34" t="s">
        <v>83</v>
      </c>
      <c r="D22" s="35"/>
      <c r="E22" s="36">
        <v>50000</v>
      </c>
      <c r="F22" s="36">
        <v>0</v>
      </c>
      <c r="G22" s="37">
        <v>0</v>
      </c>
      <c r="H22" s="37">
        <v>3780</v>
      </c>
      <c r="I22" s="36">
        <f>H22</f>
        <v>3780</v>
      </c>
      <c r="J22" s="36">
        <f>E22+F22-G22-I22</f>
        <v>46220</v>
      </c>
      <c r="K22" s="23"/>
      <c r="L22" s="22"/>
      <c r="M22" s="23"/>
    </row>
    <row r="23" spans="1:13" ht="21.75" customHeight="1" thickBot="1" x14ac:dyDescent="0.35">
      <c r="A23" s="32" t="s">
        <v>64</v>
      </c>
      <c r="B23" s="33" t="s">
        <v>81</v>
      </c>
      <c r="C23" s="34" t="s">
        <v>84</v>
      </c>
      <c r="D23" s="35"/>
      <c r="E23" s="36">
        <v>310800</v>
      </c>
      <c r="F23" s="36">
        <v>0</v>
      </c>
      <c r="G23" s="37">
        <v>0</v>
      </c>
      <c r="H23" s="37">
        <v>25900</v>
      </c>
      <c r="I23" s="36">
        <f>H23+25900+25900</f>
        <v>77700</v>
      </c>
      <c r="J23" s="36">
        <f>E23+F23-G23-I23</f>
        <v>233100</v>
      </c>
      <c r="K23" s="23"/>
      <c r="L23" s="22"/>
      <c r="M23" s="23"/>
    </row>
    <row r="24" spans="1:13" ht="21" customHeight="1" thickBot="1" x14ac:dyDescent="0.35">
      <c r="A24" s="32" t="s">
        <v>64</v>
      </c>
      <c r="B24" s="33" t="s">
        <v>81</v>
      </c>
      <c r="C24" s="34" t="s">
        <v>85</v>
      </c>
      <c r="D24" s="35"/>
      <c r="E24" s="36">
        <v>60000</v>
      </c>
      <c r="F24" s="36">
        <v>0</v>
      </c>
      <c r="G24" s="37">
        <v>0</v>
      </c>
      <c r="H24" s="37">
        <v>0</v>
      </c>
      <c r="I24" s="36">
        <f>H24+23710</f>
        <v>23710</v>
      </c>
      <c r="J24" s="36">
        <f>E24+F24-G24-I24</f>
        <v>36290</v>
      </c>
      <c r="K24" s="23"/>
      <c r="L24" s="22"/>
      <c r="M24" s="23"/>
    </row>
    <row r="25" spans="1:13" ht="20.25" customHeight="1" thickBot="1" x14ac:dyDescent="0.35">
      <c r="A25" s="38" t="s">
        <v>86</v>
      </c>
      <c r="B25" s="39"/>
      <c r="C25" s="39"/>
      <c r="D25" s="40"/>
      <c r="E25" s="41">
        <f t="shared" ref="E25:J25" si="2">SUM(E21:E24)</f>
        <v>820050</v>
      </c>
      <c r="F25" s="41">
        <f t="shared" si="2"/>
        <v>0</v>
      </c>
      <c r="G25" s="41">
        <f t="shared" si="2"/>
        <v>0</v>
      </c>
      <c r="H25" s="41">
        <f t="shared" si="2"/>
        <v>29680</v>
      </c>
      <c r="I25" s="41">
        <f t="shared" si="2"/>
        <v>105190</v>
      </c>
      <c r="J25" s="41">
        <f t="shared" si="2"/>
        <v>714860</v>
      </c>
      <c r="K25" s="23"/>
      <c r="L25" s="22"/>
      <c r="M25" s="23"/>
    </row>
    <row r="26" spans="1:13" ht="22.5" customHeight="1" thickBot="1" x14ac:dyDescent="0.35">
      <c r="A26" s="32" t="s">
        <v>64</v>
      </c>
      <c r="B26" s="33" t="s">
        <v>87</v>
      </c>
      <c r="C26" s="34" t="s">
        <v>88</v>
      </c>
      <c r="D26" s="35"/>
      <c r="E26" s="36">
        <v>382200</v>
      </c>
      <c r="F26" s="36">
        <v>0</v>
      </c>
      <c r="G26" s="37">
        <v>0</v>
      </c>
      <c r="H26" s="37">
        <f>16800+7380+8000+3500+3900+3000+72000</f>
        <v>114580</v>
      </c>
      <c r="I26" s="36">
        <f>H26+8374</f>
        <v>122954</v>
      </c>
      <c r="J26" s="36">
        <f t="shared" ref="J26:J31" si="3">E26+F26-G26-I26</f>
        <v>259246</v>
      </c>
      <c r="K26" s="23"/>
      <c r="L26" s="22"/>
      <c r="M26" s="23"/>
    </row>
    <row r="27" spans="1:13" ht="24" customHeight="1" thickBot="1" x14ac:dyDescent="0.35">
      <c r="A27" s="32" t="s">
        <v>64</v>
      </c>
      <c r="B27" s="33" t="s">
        <v>87</v>
      </c>
      <c r="C27" s="34" t="s">
        <v>89</v>
      </c>
      <c r="D27" s="35"/>
      <c r="E27" s="36">
        <v>30000</v>
      </c>
      <c r="F27" s="36">
        <v>0</v>
      </c>
      <c r="G27" s="37">
        <v>0</v>
      </c>
      <c r="H27" s="37">
        <v>1000</v>
      </c>
      <c r="I27" s="36">
        <f>H27+1000</f>
        <v>2000</v>
      </c>
      <c r="J27" s="36">
        <f t="shared" si="3"/>
        <v>28000</v>
      </c>
      <c r="K27" s="23"/>
      <c r="L27" s="22"/>
      <c r="M27" s="23"/>
    </row>
    <row r="28" spans="1:13" ht="34.5" customHeight="1" thickBot="1" x14ac:dyDescent="0.35">
      <c r="A28" s="32" t="s">
        <v>64</v>
      </c>
      <c r="B28" s="33" t="s">
        <v>87</v>
      </c>
      <c r="C28" s="34" t="s">
        <v>90</v>
      </c>
      <c r="D28" s="35" t="s">
        <v>91</v>
      </c>
      <c r="E28" s="36">
        <v>150000</v>
      </c>
      <c r="F28" s="36">
        <v>0</v>
      </c>
      <c r="G28" s="37">
        <v>0</v>
      </c>
      <c r="H28" s="37">
        <v>2420</v>
      </c>
      <c r="I28" s="36">
        <f>H28</f>
        <v>2420</v>
      </c>
      <c r="J28" s="36">
        <f t="shared" si="3"/>
        <v>147580</v>
      </c>
      <c r="K28" s="23"/>
      <c r="L28" s="22"/>
      <c r="M28" s="23"/>
    </row>
    <row r="29" spans="1:13" ht="33.75" customHeight="1" thickBot="1" x14ac:dyDescent="0.35">
      <c r="A29" s="32" t="s">
        <v>64</v>
      </c>
      <c r="B29" s="33" t="s">
        <v>87</v>
      </c>
      <c r="C29" s="34" t="s">
        <v>90</v>
      </c>
      <c r="D29" s="35" t="s">
        <v>92</v>
      </c>
      <c r="E29" s="36">
        <v>5000</v>
      </c>
      <c r="F29" s="36">
        <v>0</v>
      </c>
      <c r="G29" s="37">
        <v>0</v>
      </c>
      <c r="H29" s="37">
        <v>0</v>
      </c>
      <c r="I29" s="36">
        <f>H29</f>
        <v>0</v>
      </c>
      <c r="J29" s="36">
        <f t="shared" si="3"/>
        <v>5000</v>
      </c>
      <c r="K29" s="23"/>
      <c r="L29" s="22"/>
      <c r="M29" s="23"/>
    </row>
    <row r="30" spans="1:13" ht="39.950000000000003" customHeight="1" thickBot="1" x14ac:dyDescent="0.35">
      <c r="A30" s="32" t="s">
        <v>64</v>
      </c>
      <c r="B30" s="33" t="s">
        <v>87</v>
      </c>
      <c r="C30" s="34" t="s">
        <v>90</v>
      </c>
      <c r="D30" s="35" t="s">
        <v>93</v>
      </c>
      <c r="E30" s="36">
        <v>10000</v>
      </c>
      <c r="F30" s="36">
        <v>0</v>
      </c>
      <c r="G30" s="37">
        <v>0</v>
      </c>
      <c r="H30" s="37">
        <v>0</v>
      </c>
      <c r="I30" s="36">
        <f>H30+1000</f>
        <v>1000</v>
      </c>
      <c r="J30" s="36">
        <f t="shared" si="3"/>
        <v>9000</v>
      </c>
      <c r="K30" s="23"/>
      <c r="L30" s="22"/>
      <c r="M30" s="23"/>
    </row>
    <row r="31" spans="1:13" ht="39" customHeight="1" thickBot="1" x14ac:dyDescent="0.35">
      <c r="A31" s="32" t="s">
        <v>64</v>
      </c>
      <c r="B31" s="33" t="s">
        <v>87</v>
      </c>
      <c r="C31" s="34" t="s">
        <v>90</v>
      </c>
      <c r="D31" s="42" t="s">
        <v>94</v>
      </c>
      <c r="E31" s="36">
        <v>10000</v>
      </c>
      <c r="F31" s="36">
        <v>0</v>
      </c>
      <c r="G31" s="37">
        <v>0</v>
      </c>
      <c r="H31" s="37">
        <v>0</v>
      </c>
      <c r="I31" s="36">
        <f>H31</f>
        <v>0</v>
      </c>
      <c r="J31" s="36">
        <f t="shared" si="3"/>
        <v>10000</v>
      </c>
      <c r="K31" s="23"/>
      <c r="L31" s="22"/>
      <c r="M31" s="23"/>
    </row>
    <row r="32" spans="1:13" s="31" customFormat="1" ht="39.950000000000003" customHeight="1" thickBot="1" x14ac:dyDescent="0.35">
      <c r="A32" s="26" t="s">
        <v>54</v>
      </c>
      <c r="B32" s="26" t="s">
        <v>55</v>
      </c>
      <c r="C32" s="27" t="s">
        <v>56</v>
      </c>
      <c r="D32" s="28" t="s">
        <v>57</v>
      </c>
      <c r="E32" s="29" t="s">
        <v>58</v>
      </c>
      <c r="F32" s="29" t="s">
        <v>59</v>
      </c>
      <c r="G32" s="30" t="s">
        <v>60</v>
      </c>
      <c r="H32" s="30" t="s">
        <v>61</v>
      </c>
      <c r="I32" s="29" t="s">
        <v>62</v>
      </c>
      <c r="J32" s="29" t="s">
        <v>63</v>
      </c>
      <c r="K32" s="23"/>
      <c r="L32" s="22"/>
      <c r="M32" s="23"/>
    </row>
    <row r="33" spans="1:13" ht="50.25" customHeight="1" thickBot="1" x14ac:dyDescent="0.35">
      <c r="A33" s="32" t="s">
        <v>64</v>
      </c>
      <c r="B33" s="33" t="s">
        <v>87</v>
      </c>
      <c r="C33" s="34" t="s">
        <v>90</v>
      </c>
      <c r="D33" s="35" t="s">
        <v>95</v>
      </c>
      <c r="E33" s="36">
        <v>250000</v>
      </c>
      <c r="F33" s="36">
        <v>0</v>
      </c>
      <c r="G33" s="37">
        <f>130000+33700</f>
        <v>163700</v>
      </c>
      <c r="H33" s="37">
        <v>0</v>
      </c>
      <c r="I33" s="36">
        <f>H33</f>
        <v>0</v>
      </c>
      <c r="J33" s="36">
        <f>E33+F33-G33-I33</f>
        <v>86300</v>
      </c>
      <c r="K33" s="23"/>
      <c r="L33" s="22"/>
      <c r="M33" s="23"/>
    </row>
    <row r="34" spans="1:13" ht="21.75" customHeight="1" thickBot="1" x14ac:dyDescent="0.35">
      <c r="A34" s="32" t="s">
        <v>64</v>
      </c>
      <c r="B34" s="33" t="s">
        <v>87</v>
      </c>
      <c r="C34" s="34" t="s">
        <v>96</v>
      </c>
      <c r="D34" s="35"/>
      <c r="E34" s="36">
        <v>30000</v>
      </c>
      <c r="F34" s="36">
        <v>0</v>
      </c>
      <c r="G34" s="37">
        <v>0</v>
      </c>
      <c r="H34" s="37">
        <v>2100</v>
      </c>
      <c r="I34" s="36">
        <f>H34+1880</f>
        <v>3980</v>
      </c>
      <c r="J34" s="36">
        <f>E34+F34-G34-I34</f>
        <v>26020</v>
      </c>
      <c r="K34" s="23"/>
      <c r="L34" s="22"/>
      <c r="M34" s="23"/>
    </row>
    <row r="35" spans="1:13" ht="22.5" customHeight="1" thickBot="1" x14ac:dyDescent="0.35">
      <c r="A35" s="38" t="s">
        <v>97</v>
      </c>
      <c r="B35" s="39"/>
      <c r="C35" s="39"/>
      <c r="D35" s="40"/>
      <c r="E35" s="41">
        <f t="shared" ref="E35:J35" si="4">SUM(E26:E34)</f>
        <v>867200</v>
      </c>
      <c r="F35" s="41">
        <f t="shared" si="4"/>
        <v>0</v>
      </c>
      <c r="G35" s="41">
        <f t="shared" si="4"/>
        <v>163700</v>
      </c>
      <c r="H35" s="41">
        <f t="shared" si="4"/>
        <v>120100</v>
      </c>
      <c r="I35" s="41">
        <f t="shared" si="4"/>
        <v>132354</v>
      </c>
      <c r="J35" s="41">
        <f t="shared" si="4"/>
        <v>571146</v>
      </c>
      <c r="K35" s="23"/>
      <c r="L35" s="22"/>
      <c r="M35" s="23"/>
    </row>
    <row r="36" spans="1:13" ht="21" customHeight="1" thickBot="1" x14ac:dyDescent="0.35">
      <c r="A36" s="32" t="s">
        <v>64</v>
      </c>
      <c r="B36" s="33" t="s">
        <v>98</v>
      </c>
      <c r="C36" s="34" t="s">
        <v>99</v>
      </c>
      <c r="D36" s="35"/>
      <c r="E36" s="36">
        <v>80000</v>
      </c>
      <c r="F36" s="36">
        <v>0</v>
      </c>
      <c r="G36" s="37">
        <v>0</v>
      </c>
      <c r="H36" s="37">
        <v>0</v>
      </c>
      <c r="I36" s="36">
        <f t="shared" ref="I36:I41" si="5">H36</f>
        <v>0</v>
      </c>
      <c r="J36" s="36">
        <f t="shared" ref="J36:J41" si="6">E36+F36-G36-I36</f>
        <v>80000</v>
      </c>
      <c r="K36" s="23"/>
      <c r="L36" s="22"/>
      <c r="M36" s="23"/>
    </row>
    <row r="37" spans="1:13" ht="20.25" customHeight="1" thickBot="1" x14ac:dyDescent="0.35">
      <c r="A37" s="32" t="s">
        <v>64</v>
      </c>
      <c r="B37" s="33" t="s">
        <v>98</v>
      </c>
      <c r="C37" s="34" t="s">
        <v>100</v>
      </c>
      <c r="D37" s="35"/>
      <c r="E37" s="36">
        <v>20000</v>
      </c>
      <c r="F37" s="36">
        <v>0</v>
      </c>
      <c r="G37" s="37">
        <v>0</v>
      </c>
      <c r="H37" s="37">
        <v>0</v>
      </c>
      <c r="I37" s="36">
        <f t="shared" si="5"/>
        <v>0</v>
      </c>
      <c r="J37" s="36">
        <f t="shared" si="6"/>
        <v>20000</v>
      </c>
      <c r="K37" s="23"/>
      <c r="L37" s="22"/>
      <c r="M37" s="23"/>
    </row>
    <row r="38" spans="1:13" ht="21" customHeight="1" thickBot="1" x14ac:dyDescent="0.35">
      <c r="A38" s="32" t="s">
        <v>64</v>
      </c>
      <c r="B38" s="33" t="s">
        <v>98</v>
      </c>
      <c r="C38" s="34" t="s">
        <v>101</v>
      </c>
      <c r="D38" s="35"/>
      <c r="E38" s="36">
        <v>50000</v>
      </c>
      <c r="F38" s="36">
        <v>0</v>
      </c>
      <c r="G38" s="37">
        <v>0</v>
      </c>
      <c r="H38" s="37">
        <v>20750</v>
      </c>
      <c r="I38" s="36">
        <f t="shared" si="5"/>
        <v>20750</v>
      </c>
      <c r="J38" s="36">
        <f t="shared" si="6"/>
        <v>29250</v>
      </c>
      <c r="K38" s="23"/>
      <c r="L38" s="22"/>
      <c r="M38" s="23"/>
    </row>
    <row r="39" spans="1:13" ht="21.75" customHeight="1" thickBot="1" x14ac:dyDescent="0.35">
      <c r="A39" s="32" t="s">
        <v>64</v>
      </c>
      <c r="B39" s="33" t="s">
        <v>98</v>
      </c>
      <c r="C39" s="34" t="s">
        <v>102</v>
      </c>
      <c r="D39" s="35"/>
      <c r="E39" s="36">
        <v>250000</v>
      </c>
      <c r="F39" s="36">
        <v>0</v>
      </c>
      <c r="G39" s="37">
        <v>0</v>
      </c>
      <c r="H39" s="37">
        <v>16200</v>
      </c>
      <c r="I39" s="36">
        <f>H39+16200</f>
        <v>32400</v>
      </c>
      <c r="J39" s="36">
        <f t="shared" si="6"/>
        <v>217600</v>
      </c>
      <c r="K39" s="23"/>
      <c r="L39" s="22"/>
      <c r="M39" s="23"/>
    </row>
    <row r="40" spans="1:13" ht="21.75" customHeight="1" thickBot="1" x14ac:dyDescent="0.35">
      <c r="A40" s="32" t="s">
        <v>64</v>
      </c>
      <c r="B40" s="33" t="s">
        <v>98</v>
      </c>
      <c r="C40" s="34" t="s">
        <v>103</v>
      </c>
      <c r="D40" s="35"/>
      <c r="E40" s="36">
        <v>10000</v>
      </c>
      <c r="F40" s="36">
        <v>0</v>
      </c>
      <c r="G40" s="37">
        <v>0</v>
      </c>
      <c r="H40" s="37">
        <v>0</v>
      </c>
      <c r="I40" s="36">
        <f t="shared" si="5"/>
        <v>0</v>
      </c>
      <c r="J40" s="36">
        <f t="shared" si="6"/>
        <v>10000</v>
      </c>
      <c r="K40" s="23"/>
      <c r="L40" s="22"/>
      <c r="M40" s="23"/>
    </row>
    <row r="41" spans="1:13" ht="21.75" customHeight="1" thickBot="1" x14ac:dyDescent="0.35">
      <c r="A41" s="32" t="s">
        <v>64</v>
      </c>
      <c r="B41" s="33" t="s">
        <v>98</v>
      </c>
      <c r="C41" s="34" t="s">
        <v>104</v>
      </c>
      <c r="D41" s="35"/>
      <c r="E41" s="36">
        <v>50000</v>
      </c>
      <c r="F41" s="36">
        <v>0</v>
      </c>
      <c r="G41" s="37">
        <v>0</v>
      </c>
      <c r="H41" s="37">
        <v>0</v>
      </c>
      <c r="I41" s="36">
        <f t="shared" si="5"/>
        <v>0</v>
      </c>
      <c r="J41" s="36">
        <f t="shared" si="6"/>
        <v>50000</v>
      </c>
      <c r="K41" s="23"/>
      <c r="L41" s="22"/>
      <c r="M41" s="23"/>
    </row>
    <row r="42" spans="1:13" ht="23.25" customHeight="1" thickBot="1" x14ac:dyDescent="0.35">
      <c r="A42" s="38" t="s">
        <v>105</v>
      </c>
      <c r="B42" s="39"/>
      <c r="C42" s="39"/>
      <c r="D42" s="40"/>
      <c r="E42" s="41">
        <f t="shared" ref="E42:J42" si="7">SUM(E36:E41)</f>
        <v>460000</v>
      </c>
      <c r="F42" s="41">
        <f t="shared" si="7"/>
        <v>0</v>
      </c>
      <c r="G42" s="41">
        <f t="shared" si="7"/>
        <v>0</v>
      </c>
      <c r="H42" s="41">
        <f t="shared" si="7"/>
        <v>36950</v>
      </c>
      <c r="I42" s="41">
        <f t="shared" si="7"/>
        <v>53150</v>
      </c>
      <c r="J42" s="41">
        <f t="shared" si="7"/>
        <v>406850</v>
      </c>
      <c r="K42" s="23"/>
      <c r="L42" s="22"/>
      <c r="M42" s="23"/>
    </row>
    <row r="43" spans="1:13" ht="39.950000000000003" customHeight="1" thickBot="1" x14ac:dyDescent="0.35">
      <c r="A43" s="32" t="s">
        <v>64</v>
      </c>
      <c r="B43" s="33" t="s">
        <v>106</v>
      </c>
      <c r="C43" s="34" t="s">
        <v>107</v>
      </c>
      <c r="D43" s="35"/>
      <c r="E43" s="36">
        <v>200000</v>
      </c>
      <c r="F43" s="36">
        <v>0</v>
      </c>
      <c r="G43" s="37">
        <v>0</v>
      </c>
      <c r="H43" s="37">
        <v>15799.71</v>
      </c>
      <c r="I43" s="36">
        <f>H43+19455.41+18082.97</f>
        <v>53338.09</v>
      </c>
      <c r="J43" s="36">
        <f>E43+F43-G43-I43</f>
        <v>146661.91</v>
      </c>
      <c r="K43" s="23"/>
      <c r="L43" s="22"/>
      <c r="M43" s="23"/>
    </row>
    <row r="44" spans="1:13" ht="39.950000000000003" customHeight="1" thickBot="1" x14ac:dyDescent="0.35">
      <c r="A44" s="32" t="s">
        <v>64</v>
      </c>
      <c r="B44" s="33" t="s">
        <v>106</v>
      </c>
      <c r="C44" s="34" t="s">
        <v>108</v>
      </c>
      <c r="D44" s="35"/>
      <c r="E44" s="36">
        <v>10000</v>
      </c>
      <c r="F44" s="36">
        <v>0</v>
      </c>
      <c r="G44" s="37">
        <v>0</v>
      </c>
      <c r="H44" s="37">
        <v>426.93</v>
      </c>
      <c r="I44" s="36">
        <f>H44+950.16</f>
        <v>1377.09</v>
      </c>
      <c r="J44" s="36">
        <f>E44+F44-G44-I44</f>
        <v>8622.91</v>
      </c>
      <c r="K44" s="23"/>
      <c r="L44" s="22"/>
      <c r="M44" s="23"/>
    </row>
    <row r="45" spans="1:13" ht="39.950000000000003" customHeight="1" thickBot="1" x14ac:dyDescent="0.35">
      <c r="A45" s="32" t="s">
        <v>64</v>
      </c>
      <c r="B45" s="33" t="s">
        <v>106</v>
      </c>
      <c r="C45" s="34" t="s">
        <v>109</v>
      </c>
      <c r="D45" s="35"/>
      <c r="E45" s="36">
        <v>20000</v>
      </c>
      <c r="F45" s="36">
        <v>0</v>
      </c>
      <c r="G45" s="37">
        <v>0</v>
      </c>
      <c r="H45" s="37">
        <v>1860</v>
      </c>
      <c r="I45" s="36">
        <f>H45+1419</f>
        <v>3279</v>
      </c>
      <c r="J45" s="36">
        <f>E45+F45-G45-I45</f>
        <v>16721</v>
      </c>
      <c r="K45" s="23"/>
      <c r="L45" s="22"/>
      <c r="M45" s="23"/>
    </row>
    <row r="46" spans="1:13" ht="39.950000000000003" customHeight="1" thickBot="1" x14ac:dyDescent="0.35">
      <c r="A46" s="32" t="s">
        <v>64</v>
      </c>
      <c r="B46" s="33" t="s">
        <v>106</v>
      </c>
      <c r="C46" s="34" t="s">
        <v>110</v>
      </c>
      <c r="D46" s="35"/>
      <c r="E46" s="36">
        <v>30000</v>
      </c>
      <c r="F46" s="36">
        <v>0</v>
      </c>
      <c r="G46" s="37">
        <v>0</v>
      </c>
      <c r="H46" s="37">
        <v>3199.3</v>
      </c>
      <c r="I46" s="36">
        <f>H46+6398.6</f>
        <v>9597.9000000000015</v>
      </c>
      <c r="J46" s="36">
        <f>E46+F46-G46-I46</f>
        <v>20402.099999999999</v>
      </c>
      <c r="K46" s="23"/>
      <c r="L46" s="22"/>
      <c r="M46" s="23"/>
    </row>
    <row r="47" spans="1:13" ht="21.75" customHeight="1" thickBot="1" x14ac:dyDescent="0.35">
      <c r="A47" s="38" t="s">
        <v>111</v>
      </c>
      <c r="B47" s="39"/>
      <c r="C47" s="39"/>
      <c r="D47" s="40"/>
      <c r="E47" s="41">
        <f t="shared" ref="E47:J47" si="8">SUM(E43:E46)</f>
        <v>260000</v>
      </c>
      <c r="F47" s="41">
        <f t="shared" si="8"/>
        <v>0</v>
      </c>
      <c r="G47" s="41">
        <f t="shared" si="8"/>
        <v>0</v>
      </c>
      <c r="H47" s="41">
        <f t="shared" si="8"/>
        <v>21285.94</v>
      </c>
      <c r="I47" s="41">
        <f t="shared" si="8"/>
        <v>67592.079999999987</v>
      </c>
      <c r="J47" s="41">
        <f t="shared" si="8"/>
        <v>192407.92</v>
      </c>
      <c r="K47" s="23"/>
      <c r="L47" s="22"/>
      <c r="M47" s="23"/>
    </row>
    <row r="48" spans="1:13" s="48" customFormat="1" ht="39.950000000000003" customHeight="1" thickBot="1" x14ac:dyDescent="0.35">
      <c r="A48" s="43"/>
      <c r="B48" s="44"/>
      <c r="C48" s="45"/>
      <c r="D48" s="46"/>
      <c r="E48" s="47"/>
      <c r="F48" s="47"/>
      <c r="G48" s="47"/>
      <c r="H48" s="47"/>
      <c r="I48" s="47"/>
      <c r="J48" s="47"/>
      <c r="K48" s="22"/>
      <c r="L48" s="22"/>
      <c r="M48" s="22"/>
    </row>
    <row r="49" spans="1:13" s="31" customFormat="1" ht="39.950000000000003" customHeight="1" thickBot="1" x14ac:dyDescent="0.35">
      <c r="A49" s="26" t="s">
        <v>54</v>
      </c>
      <c r="B49" s="26" t="s">
        <v>55</v>
      </c>
      <c r="C49" s="27" t="s">
        <v>56</v>
      </c>
      <c r="D49" s="28" t="s">
        <v>57</v>
      </c>
      <c r="E49" s="29" t="s">
        <v>58</v>
      </c>
      <c r="F49" s="29" t="s">
        <v>59</v>
      </c>
      <c r="G49" s="30" t="s">
        <v>60</v>
      </c>
      <c r="H49" s="30" t="s">
        <v>61</v>
      </c>
      <c r="I49" s="29" t="s">
        <v>62</v>
      </c>
      <c r="J49" s="29" t="s">
        <v>63</v>
      </c>
      <c r="K49" s="23"/>
      <c r="L49" s="22"/>
      <c r="M49" s="23"/>
    </row>
    <row r="50" spans="1:13" ht="39.950000000000003" customHeight="1" thickBot="1" x14ac:dyDescent="0.35">
      <c r="A50" s="32" t="s">
        <v>64</v>
      </c>
      <c r="B50" s="33" t="s">
        <v>112</v>
      </c>
      <c r="C50" s="34" t="s">
        <v>113</v>
      </c>
      <c r="D50" s="35" t="s">
        <v>114</v>
      </c>
      <c r="E50" s="36">
        <v>4350</v>
      </c>
      <c r="F50" s="36">
        <v>0</v>
      </c>
      <c r="G50" s="37">
        <v>0</v>
      </c>
      <c r="H50" s="37">
        <v>0</v>
      </c>
      <c r="I50" s="36">
        <f t="shared" ref="I50:I55" si="9">H50</f>
        <v>0</v>
      </c>
      <c r="J50" s="36">
        <f t="shared" ref="J50:J56" si="10">E50+F50-G50-I50</f>
        <v>4350</v>
      </c>
      <c r="K50" s="23"/>
      <c r="L50" s="22"/>
      <c r="M50" s="23"/>
    </row>
    <row r="51" spans="1:13" ht="39.950000000000003" customHeight="1" thickBot="1" x14ac:dyDescent="0.35">
      <c r="A51" s="32" t="s">
        <v>64</v>
      </c>
      <c r="B51" s="33" t="s">
        <v>112</v>
      </c>
      <c r="C51" s="34" t="s">
        <v>113</v>
      </c>
      <c r="D51" s="35" t="s">
        <v>115</v>
      </c>
      <c r="E51" s="36">
        <v>16800</v>
      </c>
      <c r="F51" s="36">
        <v>0</v>
      </c>
      <c r="G51" s="37">
        <v>0</v>
      </c>
      <c r="H51" s="37">
        <v>0</v>
      </c>
      <c r="I51" s="36">
        <f t="shared" si="9"/>
        <v>0</v>
      </c>
      <c r="J51" s="36">
        <f t="shared" si="10"/>
        <v>16800</v>
      </c>
      <c r="K51" s="23"/>
      <c r="L51" s="22"/>
      <c r="M51" s="23"/>
    </row>
    <row r="52" spans="1:13" ht="69" customHeight="1" thickBot="1" x14ac:dyDescent="0.35">
      <c r="A52" s="32" t="s">
        <v>64</v>
      </c>
      <c r="B52" s="33" t="s">
        <v>112</v>
      </c>
      <c r="C52" s="34" t="s">
        <v>116</v>
      </c>
      <c r="D52" s="35" t="s">
        <v>117</v>
      </c>
      <c r="E52" s="36">
        <v>28000</v>
      </c>
      <c r="F52" s="36">
        <v>0</v>
      </c>
      <c r="G52" s="37">
        <v>0</v>
      </c>
      <c r="H52" s="37">
        <v>0</v>
      </c>
      <c r="I52" s="36">
        <f t="shared" si="9"/>
        <v>0</v>
      </c>
      <c r="J52" s="36">
        <f t="shared" si="10"/>
        <v>28000</v>
      </c>
      <c r="K52" s="23"/>
      <c r="L52" s="22"/>
      <c r="M52" s="23"/>
    </row>
    <row r="53" spans="1:13" ht="39.950000000000003" customHeight="1" thickBot="1" x14ac:dyDescent="0.35">
      <c r="A53" s="32" t="s">
        <v>64</v>
      </c>
      <c r="B53" s="33" t="s">
        <v>112</v>
      </c>
      <c r="C53" s="34" t="s">
        <v>118</v>
      </c>
      <c r="D53" s="35" t="s">
        <v>119</v>
      </c>
      <c r="E53" s="36">
        <v>16000</v>
      </c>
      <c r="F53" s="36">
        <v>0</v>
      </c>
      <c r="G53" s="37">
        <v>0</v>
      </c>
      <c r="H53" s="37">
        <v>0</v>
      </c>
      <c r="I53" s="36">
        <f t="shared" si="9"/>
        <v>0</v>
      </c>
      <c r="J53" s="36">
        <f t="shared" si="10"/>
        <v>16000</v>
      </c>
      <c r="K53" s="23"/>
      <c r="L53" s="22"/>
      <c r="M53" s="23"/>
    </row>
    <row r="54" spans="1:13" ht="54" customHeight="1" thickBot="1" x14ac:dyDescent="0.35">
      <c r="A54" s="32" t="s">
        <v>64</v>
      </c>
      <c r="B54" s="33" t="s">
        <v>112</v>
      </c>
      <c r="C54" s="34" t="s">
        <v>118</v>
      </c>
      <c r="D54" s="35" t="s">
        <v>120</v>
      </c>
      <c r="E54" s="36">
        <v>4300</v>
      </c>
      <c r="F54" s="36">
        <v>0</v>
      </c>
      <c r="G54" s="37">
        <v>0</v>
      </c>
      <c r="H54" s="37">
        <v>0</v>
      </c>
      <c r="I54" s="36">
        <f t="shared" si="9"/>
        <v>0</v>
      </c>
      <c r="J54" s="36">
        <f t="shared" si="10"/>
        <v>4300</v>
      </c>
      <c r="K54" s="23"/>
      <c r="L54" s="22"/>
      <c r="M54" s="23"/>
    </row>
    <row r="55" spans="1:13" ht="21.75" customHeight="1" thickBot="1" x14ac:dyDescent="0.35">
      <c r="A55" s="32" t="s">
        <v>64</v>
      </c>
      <c r="B55" s="33" t="s">
        <v>112</v>
      </c>
      <c r="C55" s="34" t="s">
        <v>118</v>
      </c>
      <c r="D55" s="35" t="s">
        <v>121</v>
      </c>
      <c r="E55" s="36">
        <v>3100</v>
      </c>
      <c r="F55" s="36">
        <v>0</v>
      </c>
      <c r="G55" s="37">
        <v>0</v>
      </c>
      <c r="H55" s="37">
        <v>0</v>
      </c>
      <c r="I55" s="36">
        <f t="shared" si="9"/>
        <v>0</v>
      </c>
      <c r="J55" s="36">
        <f t="shared" si="10"/>
        <v>3100</v>
      </c>
      <c r="K55" s="23"/>
      <c r="L55" s="22"/>
      <c r="M55" s="23"/>
    </row>
    <row r="56" spans="1:13" ht="21.75" customHeight="1" thickBot="1" x14ac:dyDescent="0.35">
      <c r="A56" s="32" t="s">
        <v>64</v>
      </c>
      <c r="B56" s="33" t="s">
        <v>112</v>
      </c>
      <c r="C56" s="34" t="s">
        <v>122</v>
      </c>
      <c r="D56" s="35"/>
      <c r="E56" s="36">
        <v>150000</v>
      </c>
      <c r="F56" s="36">
        <v>0</v>
      </c>
      <c r="G56" s="37">
        <v>0</v>
      </c>
      <c r="H56" s="37">
        <v>0</v>
      </c>
      <c r="I56" s="36">
        <f>H56+7550</f>
        <v>7550</v>
      </c>
      <c r="J56" s="36">
        <f t="shared" si="10"/>
        <v>142450</v>
      </c>
      <c r="K56" s="23"/>
      <c r="L56" s="22"/>
      <c r="M56" s="23"/>
    </row>
    <row r="57" spans="1:13" ht="20.25" customHeight="1" thickBot="1" x14ac:dyDescent="0.35">
      <c r="A57" s="38" t="s">
        <v>123</v>
      </c>
      <c r="B57" s="39"/>
      <c r="C57" s="39"/>
      <c r="D57" s="40"/>
      <c r="E57" s="41">
        <f t="shared" ref="E57:J57" si="11">SUM(E50:E56)</f>
        <v>222550</v>
      </c>
      <c r="F57" s="41">
        <f t="shared" si="11"/>
        <v>0</v>
      </c>
      <c r="G57" s="41">
        <f t="shared" si="11"/>
        <v>0</v>
      </c>
      <c r="H57" s="41">
        <f t="shared" si="11"/>
        <v>0</v>
      </c>
      <c r="I57" s="41">
        <f t="shared" si="11"/>
        <v>7550</v>
      </c>
      <c r="J57" s="41">
        <f t="shared" si="11"/>
        <v>215000</v>
      </c>
      <c r="K57" s="23"/>
      <c r="L57" s="22"/>
      <c r="M57" s="23"/>
    </row>
    <row r="58" spans="1:13" ht="39.950000000000003" customHeight="1" thickBot="1" x14ac:dyDescent="0.35">
      <c r="A58" s="32" t="s">
        <v>64</v>
      </c>
      <c r="B58" s="33" t="s">
        <v>124</v>
      </c>
      <c r="C58" s="34" t="s">
        <v>125</v>
      </c>
      <c r="D58" s="35" t="s">
        <v>126</v>
      </c>
      <c r="E58" s="36">
        <v>1960000</v>
      </c>
      <c r="F58" s="36">
        <v>0</v>
      </c>
      <c r="G58" s="37">
        <v>0</v>
      </c>
      <c r="H58" s="37">
        <v>0</v>
      </c>
      <c r="I58" s="36">
        <v>0</v>
      </c>
      <c r="J58" s="36">
        <f>E58+F58-G58-I58</f>
        <v>1960000</v>
      </c>
      <c r="K58" s="23"/>
      <c r="L58" s="22"/>
      <c r="M58" s="23"/>
    </row>
    <row r="59" spans="1:13" ht="24" customHeight="1" thickBot="1" x14ac:dyDescent="0.35">
      <c r="A59" s="38" t="s">
        <v>127</v>
      </c>
      <c r="B59" s="39"/>
      <c r="C59" s="39"/>
      <c r="D59" s="40"/>
      <c r="E59" s="41">
        <f t="shared" ref="E59:J59" si="12">E58</f>
        <v>1960000</v>
      </c>
      <c r="F59" s="41">
        <f t="shared" si="12"/>
        <v>0</v>
      </c>
      <c r="G59" s="41">
        <f t="shared" si="12"/>
        <v>0</v>
      </c>
      <c r="H59" s="41">
        <f t="shared" si="12"/>
        <v>0</v>
      </c>
      <c r="I59" s="41">
        <f t="shared" si="12"/>
        <v>0</v>
      </c>
      <c r="J59" s="41">
        <f t="shared" si="12"/>
        <v>1960000</v>
      </c>
      <c r="K59" s="23"/>
      <c r="L59" s="22"/>
      <c r="M59" s="23"/>
    </row>
    <row r="60" spans="1:13" ht="21.75" customHeight="1" thickBot="1" x14ac:dyDescent="0.35">
      <c r="A60" s="32" t="s">
        <v>64</v>
      </c>
      <c r="B60" s="33" t="s">
        <v>128</v>
      </c>
      <c r="C60" s="34" t="s">
        <v>128</v>
      </c>
      <c r="D60" s="35"/>
      <c r="E60" s="36">
        <v>25000</v>
      </c>
      <c r="F60" s="36">
        <v>0</v>
      </c>
      <c r="G60" s="37">
        <v>0</v>
      </c>
      <c r="H60" s="37">
        <v>0</v>
      </c>
      <c r="I60" s="36">
        <v>0</v>
      </c>
      <c r="J60" s="36">
        <f>E60+F60-G60-I60</f>
        <v>25000</v>
      </c>
      <c r="K60" s="23"/>
      <c r="L60" s="22"/>
      <c r="M60" s="23"/>
    </row>
    <row r="61" spans="1:13" ht="21.75" customHeight="1" thickBot="1" x14ac:dyDescent="0.35">
      <c r="A61" s="38" t="s">
        <v>129</v>
      </c>
      <c r="B61" s="39"/>
      <c r="C61" s="39"/>
      <c r="D61" s="40"/>
      <c r="E61" s="41">
        <f t="shared" ref="E61:J61" si="13">E60</f>
        <v>25000</v>
      </c>
      <c r="F61" s="41">
        <f t="shared" si="13"/>
        <v>0</v>
      </c>
      <c r="G61" s="41">
        <f t="shared" si="13"/>
        <v>0</v>
      </c>
      <c r="H61" s="41">
        <f t="shared" si="13"/>
        <v>0</v>
      </c>
      <c r="I61" s="41">
        <f t="shared" si="13"/>
        <v>0</v>
      </c>
      <c r="J61" s="41">
        <f t="shared" si="13"/>
        <v>25000</v>
      </c>
      <c r="K61" s="23"/>
      <c r="L61" s="22"/>
      <c r="M61" s="23"/>
    </row>
    <row r="62" spans="1:13" ht="22.5" customHeight="1" thickBot="1" x14ac:dyDescent="0.35">
      <c r="A62" s="32" t="s">
        <v>64</v>
      </c>
      <c r="B62" s="33" t="s">
        <v>130</v>
      </c>
      <c r="C62" s="34" t="s">
        <v>131</v>
      </c>
      <c r="D62" s="35"/>
      <c r="E62" s="36">
        <v>20000</v>
      </c>
      <c r="F62" s="36">
        <v>0</v>
      </c>
      <c r="G62" s="37">
        <v>0</v>
      </c>
      <c r="H62" s="37">
        <v>0</v>
      </c>
      <c r="I62" s="36">
        <v>0</v>
      </c>
      <c r="J62" s="36">
        <f>E62+F62-G62-I62</f>
        <v>20000</v>
      </c>
      <c r="K62" s="23"/>
      <c r="L62" s="22"/>
      <c r="M62" s="23"/>
    </row>
    <row r="63" spans="1:13" ht="21.75" customHeight="1" thickBot="1" x14ac:dyDescent="0.35">
      <c r="A63" s="49" t="s">
        <v>132</v>
      </c>
      <c r="B63" s="50"/>
      <c r="C63" s="50"/>
      <c r="D63" s="51"/>
      <c r="E63" s="41">
        <f t="shared" ref="E63:J63" si="14">E62</f>
        <v>20000</v>
      </c>
      <c r="F63" s="41">
        <f t="shared" si="14"/>
        <v>0</v>
      </c>
      <c r="G63" s="41">
        <f t="shared" si="14"/>
        <v>0</v>
      </c>
      <c r="H63" s="41">
        <f t="shared" si="14"/>
        <v>0</v>
      </c>
      <c r="I63" s="41">
        <f t="shared" si="14"/>
        <v>0</v>
      </c>
      <c r="J63" s="41">
        <f t="shared" si="14"/>
        <v>20000</v>
      </c>
      <c r="K63" s="23"/>
      <c r="L63" s="22"/>
      <c r="M63" s="23"/>
    </row>
    <row r="64" spans="1:13" ht="22.5" customHeight="1" thickBot="1" x14ac:dyDescent="0.35">
      <c r="A64" s="49" t="s">
        <v>133</v>
      </c>
      <c r="B64" s="50"/>
      <c r="C64" s="50"/>
      <c r="D64" s="51"/>
      <c r="E64" s="41">
        <f t="shared" ref="E64:J64" si="15">E11+E20+E25+E35+E42+E47+E57+E59+E61+E63</f>
        <v>12992320</v>
      </c>
      <c r="F64" s="41">
        <f t="shared" si="15"/>
        <v>145000</v>
      </c>
      <c r="G64" s="41">
        <f t="shared" si="15"/>
        <v>308700</v>
      </c>
      <c r="H64" s="41">
        <f t="shared" si="15"/>
        <v>871570.94</v>
      </c>
      <c r="I64" s="41">
        <f t="shared" si="15"/>
        <v>2454724.67</v>
      </c>
      <c r="J64" s="41">
        <f t="shared" si="15"/>
        <v>10373895.33</v>
      </c>
      <c r="K64" s="23"/>
      <c r="L64" s="22"/>
      <c r="M64" s="23"/>
    </row>
    <row r="65" spans="1:13" s="31" customFormat="1" ht="39.950000000000003" customHeight="1" thickBot="1" x14ac:dyDescent="0.35">
      <c r="A65" s="26" t="s">
        <v>54</v>
      </c>
      <c r="B65" s="26" t="s">
        <v>55</v>
      </c>
      <c r="C65" s="27" t="s">
        <v>56</v>
      </c>
      <c r="D65" s="28" t="s">
        <v>57</v>
      </c>
      <c r="E65" s="29" t="s">
        <v>58</v>
      </c>
      <c r="F65" s="29" t="s">
        <v>59</v>
      </c>
      <c r="G65" s="30" t="s">
        <v>60</v>
      </c>
      <c r="H65" s="30" t="s">
        <v>61</v>
      </c>
      <c r="I65" s="29" t="s">
        <v>62</v>
      </c>
      <c r="J65" s="29" t="s">
        <v>63</v>
      </c>
      <c r="K65" s="23"/>
      <c r="L65" s="22"/>
      <c r="M65" s="23"/>
    </row>
    <row r="66" spans="1:13" ht="39.950000000000003" customHeight="1" thickBot="1" x14ac:dyDescent="0.35">
      <c r="A66" s="32" t="s">
        <v>134</v>
      </c>
      <c r="B66" s="33" t="s">
        <v>72</v>
      </c>
      <c r="C66" s="34" t="s">
        <v>73</v>
      </c>
      <c r="D66" s="35"/>
      <c r="E66" s="36">
        <v>1236000</v>
      </c>
      <c r="F66" s="36">
        <v>0</v>
      </c>
      <c r="G66" s="37">
        <v>0</v>
      </c>
      <c r="H66" s="37">
        <v>82150</v>
      </c>
      <c r="I66" s="36">
        <f>H66+82150+82150</f>
        <v>246450</v>
      </c>
      <c r="J66" s="36">
        <f>E66+F66-G66-I66</f>
        <v>989550</v>
      </c>
      <c r="K66" s="23"/>
      <c r="L66" s="22"/>
      <c r="M66" s="23"/>
    </row>
    <row r="67" spans="1:13" ht="39.950000000000003" customHeight="1" thickBot="1" x14ac:dyDescent="0.35">
      <c r="A67" s="32" t="s">
        <v>134</v>
      </c>
      <c r="B67" s="33" t="s">
        <v>72</v>
      </c>
      <c r="C67" s="34" t="s">
        <v>75</v>
      </c>
      <c r="D67" s="35"/>
      <c r="E67" s="36">
        <v>42000</v>
      </c>
      <c r="F67" s="36">
        <v>0</v>
      </c>
      <c r="G67" s="37">
        <v>0</v>
      </c>
      <c r="H67" s="37">
        <v>3500</v>
      </c>
      <c r="I67" s="36">
        <f>H67+3500+3500</f>
        <v>10500</v>
      </c>
      <c r="J67" s="36">
        <f>E67+F67-G67-I67</f>
        <v>31500</v>
      </c>
      <c r="K67" s="23"/>
      <c r="L67" s="22"/>
      <c r="M67" s="23"/>
    </row>
    <row r="68" spans="1:13" ht="39.950000000000003" customHeight="1" thickBot="1" x14ac:dyDescent="0.35">
      <c r="A68" s="32" t="s">
        <v>134</v>
      </c>
      <c r="B68" s="33" t="s">
        <v>72</v>
      </c>
      <c r="C68" s="34" t="s">
        <v>78</v>
      </c>
      <c r="D68" s="35"/>
      <c r="E68" s="36">
        <v>364800</v>
      </c>
      <c r="F68" s="36">
        <v>0</v>
      </c>
      <c r="G68" s="37">
        <v>0</v>
      </c>
      <c r="H68" s="37">
        <v>30550</v>
      </c>
      <c r="I68" s="36">
        <f>H68+36950+30550</f>
        <v>98050</v>
      </c>
      <c r="J68" s="36">
        <f>E68+F68-G68-I68</f>
        <v>266750</v>
      </c>
      <c r="K68" s="23"/>
      <c r="L68" s="22"/>
      <c r="M68" s="23"/>
    </row>
    <row r="69" spans="1:13" ht="39.950000000000003" customHeight="1" thickBot="1" x14ac:dyDescent="0.35">
      <c r="A69" s="32" t="s">
        <v>134</v>
      </c>
      <c r="B69" s="33" t="s">
        <v>72</v>
      </c>
      <c r="C69" s="34" t="s">
        <v>79</v>
      </c>
      <c r="D69" s="35"/>
      <c r="E69" s="36">
        <v>6000</v>
      </c>
      <c r="F69" s="36">
        <v>0</v>
      </c>
      <c r="G69" s="37">
        <v>0</v>
      </c>
      <c r="H69" s="37">
        <v>15</v>
      </c>
      <c r="I69" s="36">
        <f>H69+15+15</f>
        <v>45</v>
      </c>
      <c r="J69" s="36">
        <f>E69+F69-G69-I69</f>
        <v>5955</v>
      </c>
      <c r="K69" s="23"/>
      <c r="L69" s="22"/>
      <c r="M69" s="23"/>
    </row>
    <row r="70" spans="1:13" ht="21.75" customHeight="1" thickBot="1" x14ac:dyDescent="0.35">
      <c r="A70" s="38" t="s">
        <v>80</v>
      </c>
      <c r="B70" s="39"/>
      <c r="C70" s="39"/>
      <c r="D70" s="40"/>
      <c r="E70" s="41">
        <f t="shared" ref="E70:J70" si="16">SUM(E66:E69)</f>
        <v>1648800</v>
      </c>
      <c r="F70" s="41">
        <f t="shared" si="16"/>
        <v>0</v>
      </c>
      <c r="G70" s="41">
        <f t="shared" si="16"/>
        <v>0</v>
      </c>
      <c r="H70" s="41">
        <f t="shared" si="16"/>
        <v>116215</v>
      </c>
      <c r="I70" s="41">
        <f t="shared" si="16"/>
        <v>355045</v>
      </c>
      <c r="J70" s="41">
        <f t="shared" si="16"/>
        <v>1293755</v>
      </c>
      <c r="K70" s="23"/>
      <c r="L70" s="22"/>
      <c r="M70" s="23"/>
    </row>
    <row r="71" spans="1:13" ht="39.950000000000003" customHeight="1" thickBot="1" x14ac:dyDescent="0.35">
      <c r="A71" s="32" t="s">
        <v>134</v>
      </c>
      <c r="B71" s="33" t="s">
        <v>81</v>
      </c>
      <c r="C71" s="34" t="s">
        <v>82</v>
      </c>
      <c r="D71" s="35"/>
      <c r="E71" s="36">
        <v>133400</v>
      </c>
      <c r="F71" s="36">
        <v>0</v>
      </c>
      <c r="G71" s="37">
        <v>0</v>
      </c>
      <c r="H71" s="37">
        <v>0</v>
      </c>
      <c r="I71" s="36">
        <v>0</v>
      </c>
      <c r="J71" s="36">
        <f>E71+F71-G71-I71</f>
        <v>133400</v>
      </c>
      <c r="K71" s="23"/>
      <c r="L71" s="22"/>
      <c r="M71" s="23"/>
    </row>
    <row r="72" spans="1:13" ht="39.950000000000003" customHeight="1" thickBot="1" x14ac:dyDescent="0.35">
      <c r="A72" s="32" t="s">
        <v>134</v>
      </c>
      <c r="B72" s="33" t="s">
        <v>81</v>
      </c>
      <c r="C72" s="34" t="s">
        <v>83</v>
      </c>
      <c r="D72" s="35"/>
      <c r="E72" s="36">
        <v>20000</v>
      </c>
      <c r="F72" s="36">
        <v>0</v>
      </c>
      <c r="G72" s="37">
        <v>0</v>
      </c>
      <c r="H72" s="37">
        <v>0</v>
      </c>
      <c r="I72" s="36">
        <v>0</v>
      </c>
      <c r="J72" s="36">
        <f>E72+F72-G72-I72</f>
        <v>20000</v>
      </c>
      <c r="K72" s="23"/>
      <c r="L72" s="22"/>
      <c r="M72" s="23"/>
    </row>
    <row r="73" spans="1:13" ht="22.5" customHeight="1" thickBot="1" x14ac:dyDescent="0.35">
      <c r="A73" s="32" t="s">
        <v>134</v>
      </c>
      <c r="B73" s="33" t="s">
        <v>81</v>
      </c>
      <c r="C73" s="34" t="s">
        <v>84</v>
      </c>
      <c r="D73" s="35"/>
      <c r="E73" s="36">
        <v>156600</v>
      </c>
      <c r="F73" s="36">
        <v>0</v>
      </c>
      <c r="G73" s="37">
        <v>0</v>
      </c>
      <c r="H73" s="37">
        <v>10800</v>
      </c>
      <c r="I73" s="36">
        <f>H73+10800+10800</f>
        <v>32400</v>
      </c>
      <c r="J73" s="36">
        <f>E73+F73-G73-I73</f>
        <v>124200</v>
      </c>
      <c r="K73" s="23"/>
      <c r="L73" s="22"/>
      <c r="M73" s="23"/>
    </row>
    <row r="74" spans="1:13" ht="21.75" customHeight="1" thickBot="1" x14ac:dyDescent="0.35">
      <c r="A74" s="32" t="s">
        <v>134</v>
      </c>
      <c r="B74" s="33" t="s">
        <v>81</v>
      </c>
      <c r="C74" s="34" t="s">
        <v>85</v>
      </c>
      <c r="D74" s="35"/>
      <c r="E74" s="36">
        <v>5000</v>
      </c>
      <c r="F74" s="36">
        <v>0</v>
      </c>
      <c r="G74" s="37">
        <v>0</v>
      </c>
      <c r="H74" s="37">
        <v>0</v>
      </c>
      <c r="I74" s="36">
        <v>0</v>
      </c>
      <c r="J74" s="36">
        <f>E74+F74-G74-I74</f>
        <v>5000</v>
      </c>
      <c r="K74" s="23"/>
      <c r="L74" s="22"/>
      <c r="M74" s="23"/>
    </row>
    <row r="75" spans="1:13" ht="21.75" customHeight="1" thickBot="1" x14ac:dyDescent="0.35">
      <c r="A75" s="49" t="s">
        <v>86</v>
      </c>
      <c r="B75" s="50"/>
      <c r="C75" s="50"/>
      <c r="D75" s="51"/>
      <c r="E75" s="41">
        <f t="shared" ref="E75:J75" si="17">SUM(E71:E74)</f>
        <v>315000</v>
      </c>
      <c r="F75" s="41">
        <f t="shared" si="17"/>
        <v>0</v>
      </c>
      <c r="G75" s="41">
        <f t="shared" si="17"/>
        <v>0</v>
      </c>
      <c r="H75" s="41">
        <f t="shared" si="17"/>
        <v>10800</v>
      </c>
      <c r="I75" s="41">
        <f t="shared" si="17"/>
        <v>32400</v>
      </c>
      <c r="J75" s="41">
        <f t="shared" si="17"/>
        <v>282600</v>
      </c>
      <c r="K75" s="23"/>
      <c r="L75" s="22"/>
      <c r="M75" s="23"/>
    </row>
    <row r="76" spans="1:13" ht="21.75" customHeight="1" thickBot="1" x14ac:dyDescent="0.35">
      <c r="A76" s="32" t="s">
        <v>134</v>
      </c>
      <c r="B76" s="33" t="s">
        <v>87</v>
      </c>
      <c r="C76" s="34" t="s">
        <v>88</v>
      </c>
      <c r="D76" s="35"/>
      <c r="E76" s="36">
        <v>100000</v>
      </c>
      <c r="F76" s="36">
        <v>0</v>
      </c>
      <c r="G76" s="37">
        <v>0</v>
      </c>
      <c r="H76" s="37">
        <v>8000</v>
      </c>
      <c r="I76" s="36">
        <f>H76+11600</f>
        <v>19600</v>
      </c>
      <c r="J76" s="36">
        <f>E76+F76-G76-I76</f>
        <v>80400</v>
      </c>
      <c r="K76" s="23"/>
      <c r="L76" s="22"/>
      <c r="M76" s="23"/>
    </row>
    <row r="77" spans="1:13" ht="39.950000000000003" customHeight="1" thickBot="1" x14ac:dyDescent="0.35">
      <c r="A77" s="32" t="s">
        <v>134</v>
      </c>
      <c r="B77" s="33" t="s">
        <v>87</v>
      </c>
      <c r="C77" s="34" t="s">
        <v>90</v>
      </c>
      <c r="D77" s="35" t="s">
        <v>91</v>
      </c>
      <c r="E77" s="36">
        <v>50000</v>
      </c>
      <c r="F77" s="36">
        <v>0</v>
      </c>
      <c r="G77" s="37">
        <v>0</v>
      </c>
      <c r="H77" s="37">
        <v>0</v>
      </c>
      <c r="I77" s="36">
        <f>H77+13524</f>
        <v>13524</v>
      </c>
      <c r="J77" s="36">
        <f>E77+F77-G77-I77</f>
        <v>36476</v>
      </c>
      <c r="K77" s="23"/>
      <c r="L77" s="22"/>
      <c r="M77" s="23"/>
    </row>
    <row r="78" spans="1:13" ht="54.75" customHeight="1" thickBot="1" x14ac:dyDescent="0.35">
      <c r="A78" s="32" t="s">
        <v>134</v>
      </c>
      <c r="B78" s="33" t="s">
        <v>87</v>
      </c>
      <c r="C78" s="34" t="s">
        <v>90</v>
      </c>
      <c r="D78" s="35" t="s">
        <v>135</v>
      </c>
      <c r="E78" s="36">
        <v>500000</v>
      </c>
      <c r="F78" s="36">
        <v>0</v>
      </c>
      <c r="G78" s="37">
        <v>0</v>
      </c>
      <c r="H78" s="37">
        <v>0</v>
      </c>
      <c r="I78" s="36">
        <f>H78</f>
        <v>0</v>
      </c>
      <c r="J78" s="36">
        <f>E78+F78-G78-I78</f>
        <v>500000</v>
      </c>
      <c r="K78" s="23"/>
      <c r="L78" s="22"/>
      <c r="M78" s="23"/>
    </row>
    <row r="79" spans="1:13" ht="39.950000000000003" customHeight="1" thickBot="1" x14ac:dyDescent="0.35">
      <c r="A79" s="32" t="s">
        <v>134</v>
      </c>
      <c r="B79" s="33" t="s">
        <v>87</v>
      </c>
      <c r="C79" s="34" t="s">
        <v>90</v>
      </c>
      <c r="D79" s="35" t="s">
        <v>136</v>
      </c>
      <c r="E79" s="36">
        <v>20000</v>
      </c>
      <c r="F79" s="36">
        <v>0</v>
      </c>
      <c r="G79" s="37">
        <v>0</v>
      </c>
      <c r="H79" s="37">
        <v>19875</v>
      </c>
      <c r="I79" s="36">
        <f>H79</f>
        <v>19875</v>
      </c>
      <c r="J79" s="36">
        <f>E79+F79-G79-I79</f>
        <v>125</v>
      </c>
      <c r="K79" s="23"/>
      <c r="L79" s="22"/>
      <c r="M79" s="23"/>
    </row>
    <row r="80" spans="1:13" s="31" customFormat="1" ht="39.950000000000003" customHeight="1" thickBot="1" x14ac:dyDescent="0.35">
      <c r="A80" s="26" t="s">
        <v>54</v>
      </c>
      <c r="B80" s="26" t="s">
        <v>55</v>
      </c>
      <c r="C80" s="27" t="s">
        <v>56</v>
      </c>
      <c r="D80" s="28" t="s">
        <v>57</v>
      </c>
      <c r="E80" s="29" t="s">
        <v>58</v>
      </c>
      <c r="F80" s="29" t="s">
        <v>59</v>
      </c>
      <c r="G80" s="30" t="s">
        <v>60</v>
      </c>
      <c r="H80" s="30" t="s">
        <v>61</v>
      </c>
      <c r="I80" s="29" t="s">
        <v>62</v>
      </c>
      <c r="J80" s="29" t="s">
        <v>63</v>
      </c>
      <c r="K80" s="23"/>
      <c r="L80" s="22"/>
      <c r="M80" s="23"/>
    </row>
    <row r="81" spans="1:13" ht="48.75" customHeight="1" thickBot="1" x14ac:dyDescent="0.35">
      <c r="A81" s="32" t="s">
        <v>134</v>
      </c>
      <c r="B81" s="33" t="s">
        <v>87</v>
      </c>
      <c r="C81" s="34" t="s">
        <v>90</v>
      </c>
      <c r="D81" s="35" t="s">
        <v>137</v>
      </c>
      <c r="E81" s="36">
        <v>5000</v>
      </c>
      <c r="F81" s="36">
        <v>0</v>
      </c>
      <c r="G81" s="37">
        <v>0</v>
      </c>
      <c r="H81" s="37">
        <v>0</v>
      </c>
      <c r="I81" s="36">
        <v>0</v>
      </c>
      <c r="J81" s="36">
        <f>E81+F81-G81-I81</f>
        <v>5000</v>
      </c>
      <c r="K81" s="23"/>
      <c r="L81" s="22"/>
      <c r="M81" s="23"/>
    </row>
    <row r="82" spans="1:13" ht="21" customHeight="1" thickBot="1" x14ac:dyDescent="0.35">
      <c r="A82" s="32" t="s">
        <v>134</v>
      </c>
      <c r="B82" s="33" t="s">
        <v>87</v>
      </c>
      <c r="C82" s="34" t="s">
        <v>96</v>
      </c>
      <c r="D82" s="35"/>
      <c r="E82" s="36">
        <v>20000</v>
      </c>
      <c r="F82" s="36">
        <v>0</v>
      </c>
      <c r="G82" s="37">
        <v>0</v>
      </c>
      <c r="H82" s="37">
        <v>0</v>
      </c>
      <c r="I82" s="36">
        <v>0</v>
      </c>
      <c r="J82" s="36">
        <f>E82+F82-G82-I82</f>
        <v>20000</v>
      </c>
      <c r="K82" s="23"/>
      <c r="L82" s="22"/>
      <c r="M82" s="23"/>
    </row>
    <row r="83" spans="1:13" ht="21" customHeight="1" thickBot="1" x14ac:dyDescent="0.35">
      <c r="A83" s="38" t="s">
        <v>97</v>
      </c>
      <c r="B83" s="39"/>
      <c r="C83" s="39"/>
      <c r="D83" s="40"/>
      <c r="E83" s="41">
        <f t="shared" ref="E83:J83" si="18">SUM(E76:E82)</f>
        <v>695000</v>
      </c>
      <c r="F83" s="41">
        <f t="shared" si="18"/>
        <v>0</v>
      </c>
      <c r="G83" s="41">
        <f t="shared" si="18"/>
        <v>0</v>
      </c>
      <c r="H83" s="41">
        <f t="shared" si="18"/>
        <v>27875</v>
      </c>
      <c r="I83" s="41">
        <f t="shared" si="18"/>
        <v>52999</v>
      </c>
      <c r="J83" s="41">
        <f t="shared" si="18"/>
        <v>642001</v>
      </c>
      <c r="K83" s="23"/>
      <c r="L83" s="22"/>
      <c r="M83" s="23"/>
    </row>
    <row r="84" spans="1:13" ht="21.75" customHeight="1" thickBot="1" x14ac:dyDescent="0.35">
      <c r="A84" s="32" t="s">
        <v>134</v>
      </c>
      <c r="B84" s="33" t="s">
        <v>98</v>
      </c>
      <c r="C84" s="34" t="s">
        <v>99</v>
      </c>
      <c r="D84" s="35"/>
      <c r="E84" s="36">
        <v>30000</v>
      </c>
      <c r="F84" s="36">
        <v>0</v>
      </c>
      <c r="G84" s="37">
        <v>0</v>
      </c>
      <c r="H84" s="37">
        <v>0</v>
      </c>
      <c r="I84" s="36">
        <v>0</v>
      </c>
      <c r="J84" s="36">
        <f>E84+F84-G84-I84</f>
        <v>30000</v>
      </c>
      <c r="K84" s="23"/>
      <c r="L84" s="22"/>
      <c r="M84" s="23"/>
    </row>
    <row r="85" spans="1:13" ht="22.5" customHeight="1" thickBot="1" x14ac:dyDescent="0.35">
      <c r="A85" s="32" t="s">
        <v>134</v>
      </c>
      <c r="B85" s="33" t="s">
        <v>98</v>
      </c>
      <c r="C85" s="34" t="s">
        <v>104</v>
      </c>
      <c r="D85" s="35"/>
      <c r="E85" s="36">
        <v>40000</v>
      </c>
      <c r="F85" s="36">
        <v>0</v>
      </c>
      <c r="G85" s="37">
        <v>0</v>
      </c>
      <c r="H85" s="37">
        <v>0</v>
      </c>
      <c r="I85" s="36">
        <v>0</v>
      </c>
      <c r="J85" s="36">
        <f>E85+F85-G85-I85</f>
        <v>40000</v>
      </c>
      <c r="K85" s="23"/>
      <c r="L85" s="22"/>
      <c r="M85" s="23"/>
    </row>
    <row r="86" spans="1:13" ht="21.75" customHeight="1" thickBot="1" x14ac:dyDescent="0.35">
      <c r="A86" s="49" t="s">
        <v>105</v>
      </c>
      <c r="B86" s="50"/>
      <c r="C86" s="50"/>
      <c r="D86" s="51"/>
      <c r="E86" s="41">
        <f t="shared" ref="E86:J86" si="19">SUM(E84:E85)</f>
        <v>70000</v>
      </c>
      <c r="F86" s="41">
        <f t="shared" si="19"/>
        <v>0</v>
      </c>
      <c r="G86" s="41">
        <f t="shared" si="19"/>
        <v>0</v>
      </c>
      <c r="H86" s="41">
        <f t="shared" si="19"/>
        <v>0</v>
      </c>
      <c r="I86" s="41">
        <f t="shared" si="19"/>
        <v>0</v>
      </c>
      <c r="J86" s="41">
        <f t="shared" si="19"/>
        <v>70000</v>
      </c>
      <c r="K86" s="23"/>
      <c r="L86" s="22"/>
      <c r="M86" s="23"/>
    </row>
    <row r="87" spans="1:13" ht="21.75" customHeight="1" thickBot="1" x14ac:dyDescent="0.35">
      <c r="A87" s="32" t="s">
        <v>134</v>
      </c>
      <c r="B87" s="33" t="s">
        <v>112</v>
      </c>
      <c r="C87" s="34" t="s">
        <v>122</v>
      </c>
      <c r="D87" s="35"/>
      <c r="E87" s="36">
        <v>20000</v>
      </c>
      <c r="F87" s="36">
        <v>0</v>
      </c>
      <c r="G87" s="37">
        <v>0</v>
      </c>
      <c r="H87" s="37">
        <v>0</v>
      </c>
      <c r="I87" s="36">
        <v>0</v>
      </c>
      <c r="J87" s="36">
        <f>E87+F87-G87-I87</f>
        <v>20000</v>
      </c>
      <c r="K87" s="23"/>
      <c r="L87" s="22"/>
      <c r="M87" s="23"/>
    </row>
    <row r="88" spans="1:13" ht="24" customHeight="1" thickBot="1" x14ac:dyDescent="0.35">
      <c r="A88" s="49" t="s">
        <v>123</v>
      </c>
      <c r="B88" s="50"/>
      <c r="C88" s="50"/>
      <c r="D88" s="51"/>
      <c r="E88" s="41">
        <f t="shared" ref="E88:J88" si="20">E87</f>
        <v>20000</v>
      </c>
      <c r="F88" s="41">
        <f t="shared" si="20"/>
        <v>0</v>
      </c>
      <c r="G88" s="41">
        <f t="shared" si="20"/>
        <v>0</v>
      </c>
      <c r="H88" s="41">
        <f t="shared" si="20"/>
        <v>0</v>
      </c>
      <c r="I88" s="41">
        <f t="shared" si="20"/>
        <v>0</v>
      </c>
      <c r="J88" s="41">
        <f t="shared" si="20"/>
        <v>20000</v>
      </c>
      <c r="K88" s="23"/>
      <c r="L88" s="22"/>
      <c r="M88" s="23"/>
    </row>
    <row r="89" spans="1:13" ht="22.5" customHeight="1" thickBot="1" x14ac:dyDescent="0.35">
      <c r="A89" s="49" t="s">
        <v>138</v>
      </c>
      <c r="B89" s="50"/>
      <c r="C89" s="50"/>
      <c r="D89" s="51"/>
      <c r="E89" s="41">
        <f t="shared" ref="E89:J89" si="21">E70+E75+E83+E86+E88</f>
        <v>2748800</v>
      </c>
      <c r="F89" s="41">
        <f t="shared" si="21"/>
        <v>0</v>
      </c>
      <c r="G89" s="41">
        <f t="shared" si="21"/>
        <v>0</v>
      </c>
      <c r="H89" s="41">
        <f t="shared" si="21"/>
        <v>154890</v>
      </c>
      <c r="I89" s="41">
        <f t="shared" si="21"/>
        <v>440444</v>
      </c>
      <c r="J89" s="41">
        <f t="shared" si="21"/>
        <v>2308356</v>
      </c>
      <c r="K89" s="23"/>
      <c r="L89" s="22"/>
      <c r="M89" s="23"/>
    </row>
    <row r="90" spans="1:13" ht="59.25" customHeight="1" thickBot="1" x14ac:dyDescent="0.35">
      <c r="A90" s="32" t="s">
        <v>139</v>
      </c>
      <c r="B90" s="33" t="s">
        <v>87</v>
      </c>
      <c r="C90" s="34" t="s">
        <v>90</v>
      </c>
      <c r="D90" s="35" t="s">
        <v>140</v>
      </c>
      <c r="E90" s="36">
        <v>80000</v>
      </c>
      <c r="F90" s="36">
        <v>0</v>
      </c>
      <c r="G90" s="37">
        <v>0</v>
      </c>
      <c r="H90" s="37">
        <v>0</v>
      </c>
      <c r="I90" s="36">
        <f>H90</f>
        <v>0</v>
      </c>
      <c r="J90" s="36">
        <f>E90+F90-G90-I90</f>
        <v>80000</v>
      </c>
      <c r="K90" s="23"/>
      <c r="L90" s="22"/>
      <c r="M90" s="23"/>
    </row>
    <row r="91" spans="1:13" ht="55.5" customHeight="1" thickBot="1" x14ac:dyDescent="0.35">
      <c r="A91" s="32" t="s">
        <v>139</v>
      </c>
      <c r="B91" s="33" t="s">
        <v>87</v>
      </c>
      <c r="C91" s="34" t="s">
        <v>90</v>
      </c>
      <c r="D91" s="35" t="s">
        <v>141</v>
      </c>
      <c r="E91" s="36">
        <v>50000</v>
      </c>
      <c r="F91" s="36">
        <v>0</v>
      </c>
      <c r="G91" s="37">
        <v>0</v>
      </c>
      <c r="H91" s="37">
        <v>0</v>
      </c>
      <c r="I91" s="36">
        <f>H91</f>
        <v>0</v>
      </c>
      <c r="J91" s="36">
        <f>E91+F91-G91-I91</f>
        <v>50000</v>
      </c>
      <c r="K91" s="23"/>
      <c r="L91" s="22"/>
      <c r="M91" s="23"/>
    </row>
    <row r="92" spans="1:13" ht="70.5" customHeight="1" thickBot="1" x14ac:dyDescent="0.35">
      <c r="A92" s="32" t="s">
        <v>139</v>
      </c>
      <c r="B92" s="33" t="s">
        <v>87</v>
      </c>
      <c r="C92" s="34" t="s">
        <v>90</v>
      </c>
      <c r="D92" s="35" t="s">
        <v>142</v>
      </c>
      <c r="E92" s="36">
        <v>320000</v>
      </c>
      <c r="F92" s="36">
        <v>0</v>
      </c>
      <c r="G92" s="37">
        <v>0</v>
      </c>
      <c r="H92" s="37">
        <v>28800</v>
      </c>
      <c r="I92" s="36">
        <f>H92+29760</f>
        <v>58560</v>
      </c>
      <c r="J92" s="36">
        <f>E92+F92-G92-I92</f>
        <v>261440</v>
      </c>
      <c r="K92" s="23"/>
      <c r="L92" s="22"/>
      <c r="M92" s="23"/>
    </row>
    <row r="93" spans="1:13" ht="56.25" customHeight="1" thickBot="1" x14ac:dyDescent="0.35">
      <c r="A93" s="32" t="s">
        <v>139</v>
      </c>
      <c r="B93" s="33" t="s">
        <v>87</v>
      </c>
      <c r="C93" s="34" t="s">
        <v>90</v>
      </c>
      <c r="D93" s="35" t="s">
        <v>143</v>
      </c>
      <c r="E93" s="36">
        <v>85000</v>
      </c>
      <c r="F93" s="36">
        <v>0</v>
      </c>
      <c r="G93" s="37">
        <v>0</v>
      </c>
      <c r="H93" s="37">
        <v>0</v>
      </c>
      <c r="I93" s="36">
        <f>H93</f>
        <v>0</v>
      </c>
      <c r="J93" s="36">
        <f>E93+F93-G93-I93</f>
        <v>85000</v>
      </c>
      <c r="K93" s="23"/>
      <c r="L93" s="22"/>
      <c r="M93" s="23"/>
    </row>
    <row r="94" spans="1:13" s="31" customFormat="1" ht="39.950000000000003" customHeight="1" thickBot="1" x14ac:dyDescent="0.35">
      <c r="A94" s="26" t="s">
        <v>54</v>
      </c>
      <c r="B94" s="26" t="s">
        <v>55</v>
      </c>
      <c r="C94" s="27" t="s">
        <v>56</v>
      </c>
      <c r="D94" s="28" t="s">
        <v>57</v>
      </c>
      <c r="E94" s="29" t="s">
        <v>58</v>
      </c>
      <c r="F94" s="29" t="s">
        <v>59</v>
      </c>
      <c r="G94" s="30" t="s">
        <v>60</v>
      </c>
      <c r="H94" s="30" t="s">
        <v>61</v>
      </c>
      <c r="I94" s="29" t="s">
        <v>62</v>
      </c>
      <c r="J94" s="29" t="s">
        <v>63</v>
      </c>
      <c r="K94" s="23"/>
      <c r="L94" s="22"/>
      <c r="M94" s="23"/>
    </row>
    <row r="95" spans="1:13" ht="70.5" customHeight="1" thickBot="1" x14ac:dyDescent="0.35">
      <c r="A95" s="32" t="s">
        <v>139</v>
      </c>
      <c r="B95" s="33" t="s">
        <v>87</v>
      </c>
      <c r="C95" s="34" t="s">
        <v>90</v>
      </c>
      <c r="D95" s="35" t="s">
        <v>144</v>
      </c>
      <c r="E95" s="36">
        <v>20000</v>
      </c>
      <c r="F95" s="36">
        <v>0</v>
      </c>
      <c r="G95" s="37">
        <v>0</v>
      </c>
      <c r="H95" s="37">
        <v>0</v>
      </c>
      <c r="I95" s="36">
        <f>H95</f>
        <v>0</v>
      </c>
      <c r="J95" s="36">
        <f>E95+F95-G95-I95</f>
        <v>20000</v>
      </c>
      <c r="K95" s="23"/>
      <c r="L95" s="22"/>
      <c r="M95" s="23"/>
    </row>
    <row r="96" spans="1:13" ht="21" customHeight="1" thickBot="1" x14ac:dyDescent="0.35">
      <c r="A96" s="49" t="s">
        <v>97</v>
      </c>
      <c r="B96" s="50"/>
      <c r="C96" s="50"/>
      <c r="D96" s="51"/>
      <c r="E96" s="41">
        <f t="shared" ref="E96:J96" si="22">SUM(E90:E95)</f>
        <v>555000</v>
      </c>
      <c r="F96" s="41">
        <f t="shared" si="22"/>
        <v>0</v>
      </c>
      <c r="G96" s="41">
        <f t="shared" si="22"/>
        <v>0</v>
      </c>
      <c r="H96" s="41">
        <f t="shared" si="22"/>
        <v>28800</v>
      </c>
      <c r="I96" s="41">
        <f t="shared" si="22"/>
        <v>58560</v>
      </c>
      <c r="J96" s="41">
        <f t="shared" si="22"/>
        <v>496440</v>
      </c>
      <c r="K96" s="23"/>
      <c r="L96" s="22"/>
      <c r="M96" s="23"/>
    </row>
    <row r="97" spans="1:13" ht="24.75" customHeight="1" thickBot="1" x14ac:dyDescent="0.35">
      <c r="A97" s="38" t="s">
        <v>145</v>
      </c>
      <c r="B97" s="39"/>
      <c r="C97" s="39"/>
      <c r="D97" s="40"/>
      <c r="E97" s="41">
        <f t="shared" ref="E97:J97" si="23">E96</f>
        <v>555000</v>
      </c>
      <c r="F97" s="41">
        <f t="shared" si="23"/>
        <v>0</v>
      </c>
      <c r="G97" s="41">
        <f t="shared" si="23"/>
        <v>0</v>
      </c>
      <c r="H97" s="41">
        <f t="shared" si="23"/>
        <v>28800</v>
      </c>
      <c r="I97" s="41">
        <f t="shared" si="23"/>
        <v>58560</v>
      </c>
      <c r="J97" s="41">
        <f t="shared" si="23"/>
        <v>496440</v>
      </c>
      <c r="K97" s="23"/>
      <c r="L97" s="22"/>
      <c r="M97" s="23"/>
    </row>
    <row r="98" spans="1:13" ht="39.950000000000003" customHeight="1" thickBot="1" x14ac:dyDescent="0.35">
      <c r="A98" s="32" t="s">
        <v>146</v>
      </c>
      <c r="B98" s="33" t="s">
        <v>72</v>
      </c>
      <c r="C98" s="34" t="s">
        <v>73</v>
      </c>
      <c r="D98" s="35"/>
      <c r="E98" s="36">
        <v>561660</v>
      </c>
      <c r="F98" s="36">
        <v>0</v>
      </c>
      <c r="G98" s="37">
        <v>35000</v>
      </c>
      <c r="H98" s="37">
        <v>25190</v>
      </c>
      <c r="I98" s="36">
        <f>H98+25190+25190</f>
        <v>75570</v>
      </c>
      <c r="J98" s="36">
        <f>E98+F98-G98-I98</f>
        <v>451090</v>
      </c>
      <c r="K98" s="23"/>
      <c r="L98" s="22"/>
      <c r="M98" s="23"/>
    </row>
    <row r="99" spans="1:13" ht="39.950000000000003" customHeight="1" thickBot="1" x14ac:dyDescent="0.35">
      <c r="A99" s="32" t="s">
        <v>146</v>
      </c>
      <c r="B99" s="33" t="s">
        <v>72</v>
      </c>
      <c r="C99" s="34" t="s">
        <v>75</v>
      </c>
      <c r="D99" s="35"/>
      <c r="E99" s="36">
        <v>42000</v>
      </c>
      <c r="F99" s="36">
        <v>0</v>
      </c>
      <c r="G99" s="37">
        <v>0</v>
      </c>
      <c r="H99" s="37">
        <v>3500</v>
      </c>
      <c r="I99" s="36">
        <f>H99+3500+3500</f>
        <v>10500</v>
      </c>
      <c r="J99" s="36">
        <f>E99+F99-G99-I99</f>
        <v>31500</v>
      </c>
      <c r="K99" s="23"/>
      <c r="L99" s="22"/>
      <c r="M99" s="23"/>
    </row>
    <row r="100" spans="1:13" ht="39.950000000000003" customHeight="1" thickBot="1" x14ac:dyDescent="0.35">
      <c r="A100" s="32" t="s">
        <v>146</v>
      </c>
      <c r="B100" s="33" t="s">
        <v>72</v>
      </c>
      <c r="C100" s="34" t="s">
        <v>78</v>
      </c>
      <c r="D100" s="35"/>
      <c r="E100" s="36">
        <v>434760</v>
      </c>
      <c r="F100" s="36">
        <v>0</v>
      </c>
      <c r="G100" s="37">
        <v>24000</v>
      </c>
      <c r="H100" s="37">
        <v>34970</v>
      </c>
      <c r="I100" s="36">
        <f>H100+34882.9+34970</f>
        <v>104822.9</v>
      </c>
      <c r="J100" s="36">
        <f>E100+F100-G100-I100</f>
        <v>305937.09999999998</v>
      </c>
      <c r="K100" s="23"/>
      <c r="L100" s="22"/>
      <c r="M100" s="23"/>
    </row>
    <row r="101" spans="1:13" ht="39.950000000000003" customHeight="1" thickBot="1" x14ac:dyDescent="0.35">
      <c r="A101" s="32" t="s">
        <v>146</v>
      </c>
      <c r="B101" s="33" t="s">
        <v>72</v>
      </c>
      <c r="C101" s="34" t="s">
        <v>79</v>
      </c>
      <c r="D101" s="35"/>
      <c r="E101" s="36">
        <v>0</v>
      </c>
      <c r="F101" s="36">
        <v>24000</v>
      </c>
      <c r="G101" s="37">
        <v>0</v>
      </c>
      <c r="H101" s="37">
        <v>2000</v>
      </c>
      <c r="I101" s="36">
        <f>H101+1290.32+2000</f>
        <v>5290.32</v>
      </c>
      <c r="J101" s="36">
        <f>E101+F101-G101-I101</f>
        <v>18709.68</v>
      </c>
      <c r="K101" s="23"/>
      <c r="L101" s="22"/>
      <c r="M101" s="23"/>
    </row>
    <row r="102" spans="1:13" ht="22.5" customHeight="1" thickBot="1" x14ac:dyDescent="0.35">
      <c r="A102" s="38" t="s">
        <v>80</v>
      </c>
      <c r="B102" s="39"/>
      <c r="C102" s="39"/>
      <c r="D102" s="40"/>
      <c r="E102" s="41">
        <f t="shared" ref="E102:J102" si="24">SUM(E98:E101)</f>
        <v>1038420</v>
      </c>
      <c r="F102" s="41">
        <f t="shared" si="24"/>
        <v>24000</v>
      </c>
      <c r="G102" s="41">
        <f t="shared" si="24"/>
        <v>59000</v>
      </c>
      <c r="H102" s="41">
        <f t="shared" si="24"/>
        <v>65660</v>
      </c>
      <c r="I102" s="41">
        <f t="shared" si="24"/>
        <v>196183.22</v>
      </c>
      <c r="J102" s="41">
        <f t="shared" si="24"/>
        <v>807236.78</v>
      </c>
      <c r="K102" s="23"/>
      <c r="L102" s="22"/>
      <c r="M102" s="23"/>
    </row>
    <row r="103" spans="1:13" ht="39.950000000000003" customHeight="1" thickBot="1" x14ac:dyDescent="0.35">
      <c r="A103" s="32" t="s">
        <v>146</v>
      </c>
      <c r="B103" s="33" t="s">
        <v>81</v>
      </c>
      <c r="C103" s="34" t="s">
        <v>82</v>
      </c>
      <c r="D103" s="35"/>
      <c r="E103" s="36">
        <v>164400</v>
      </c>
      <c r="F103" s="36">
        <v>0</v>
      </c>
      <c r="G103" s="37">
        <v>0</v>
      </c>
      <c r="H103" s="37">
        <v>0</v>
      </c>
      <c r="I103" s="36">
        <v>0</v>
      </c>
      <c r="J103" s="36">
        <f>E103+F103-G103-I103</f>
        <v>164400</v>
      </c>
      <c r="K103" s="23"/>
      <c r="L103" s="22"/>
      <c r="M103" s="23"/>
    </row>
    <row r="104" spans="1:13" ht="39.950000000000003" customHeight="1" thickBot="1" x14ac:dyDescent="0.35">
      <c r="A104" s="32" t="s">
        <v>146</v>
      </c>
      <c r="B104" s="33" t="s">
        <v>81</v>
      </c>
      <c r="C104" s="34" t="s">
        <v>83</v>
      </c>
      <c r="D104" s="35"/>
      <c r="E104" s="36">
        <v>10000</v>
      </c>
      <c r="F104" s="36">
        <v>0</v>
      </c>
      <c r="G104" s="37">
        <v>0</v>
      </c>
      <c r="H104" s="37">
        <v>0</v>
      </c>
      <c r="I104" s="36">
        <v>0</v>
      </c>
      <c r="J104" s="36">
        <f>E104+F104-G104-I104</f>
        <v>10000</v>
      </c>
      <c r="K104" s="23"/>
      <c r="L104" s="22"/>
      <c r="M104" s="23"/>
    </row>
    <row r="105" spans="1:13" ht="39.950000000000003" customHeight="1" thickBot="1" x14ac:dyDescent="0.35">
      <c r="A105" s="32" t="s">
        <v>146</v>
      </c>
      <c r="B105" s="33" t="s">
        <v>81</v>
      </c>
      <c r="C105" s="34" t="s">
        <v>84</v>
      </c>
      <c r="D105" s="35"/>
      <c r="E105" s="36">
        <v>36000</v>
      </c>
      <c r="F105" s="36">
        <v>0</v>
      </c>
      <c r="G105" s="37">
        <v>0</v>
      </c>
      <c r="H105" s="37">
        <v>3000</v>
      </c>
      <c r="I105" s="36">
        <f>H105+3000+3000</f>
        <v>9000</v>
      </c>
      <c r="J105" s="36">
        <f>E105+F105-G105-I105</f>
        <v>27000</v>
      </c>
      <c r="K105" s="23"/>
      <c r="L105" s="22"/>
      <c r="M105" s="23"/>
    </row>
    <row r="106" spans="1:13" ht="22.5" customHeight="1" thickBot="1" x14ac:dyDescent="0.35">
      <c r="A106" s="49" t="s">
        <v>86</v>
      </c>
      <c r="B106" s="50"/>
      <c r="C106" s="50"/>
      <c r="D106" s="51"/>
      <c r="E106" s="41">
        <f t="shared" ref="E106:J106" si="25">SUM(E103:E105)</f>
        <v>210400</v>
      </c>
      <c r="F106" s="41">
        <f t="shared" si="25"/>
        <v>0</v>
      </c>
      <c r="G106" s="41">
        <f t="shared" si="25"/>
        <v>0</v>
      </c>
      <c r="H106" s="41">
        <f t="shared" si="25"/>
        <v>3000</v>
      </c>
      <c r="I106" s="41">
        <f t="shared" si="25"/>
        <v>9000</v>
      </c>
      <c r="J106" s="41">
        <f t="shared" si="25"/>
        <v>201400</v>
      </c>
      <c r="K106" s="23"/>
      <c r="L106" s="22"/>
      <c r="M106" s="23"/>
    </row>
    <row r="107" spans="1:13" ht="39.950000000000003" customHeight="1" thickBot="1" x14ac:dyDescent="0.35">
      <c r="A107" s="32" t="s">
        <v>146</v>
      </c>
      <c r="B107" s="33" t="s">
        <v>87</v>
      </c>
      <c r="C107" s="34" t="s">
        <v>88</v>
      </c>
      <c r="D107" s="35"/>
      <c r="E107" s="36">
        <v>30000</v>
      </c>
      <c r="F107" s="36">
        <v>0</v>
      </c>
      <c r="G107" s="37">
        <v>0</v>
      </c>
      <c r="H107" s="37">
        <v>0</v>
      </c>
      <c r="I107" s="36">
        <v>0</v>
      </c>
      <c r="J107" s="36">
        <f>E107+F107-G107-I107</f>
        <v>30000</v>
      </c>
      <c r="K107" s="23"/>
      <c r="L107" s="22"/>
      <c r="M107" s="23"/>
    </row>
    <row r="108" spans="1:13" s="31" customFormat="1" ht="39.950000000000003" customHeight="1" thickBot="1" x14ac:dyDescent="0.35">
      <c r="A108" s="26" t="s">
        <v>54</v>
      </c>
      <c r="B108" s="26" t="s">
        <v>55</v>
      </c>
      <c r="C108" s="27" t="s">
        <v>56</v>
      </c>
      <c r="D108" s="28" t="s">
        <v>57</v>
      </c>
      <c r="E108" s="29" t="s">
        <v>58</v>
      </c>
      <c r="F108" s="29" t="s">
        <v>59</v>
      </c>
      <c r="G108" s="30" t="s">
        <v>60</v>
      </c>
      <c r="H108" s="30" t="s">
        <v>61</v>
      </c>
      <c r="I108" s="29" t="s">
        <v>62</v>
      </c>
      <c r="J108" s="29" t="s">
        <v>63</v>
      </c>
      <c r="K108" s="23"/>
      <c r="L108" s="22"/>
      <c r="M108" s="23"/>
    </row>
    <row r="109" spans="1:13" ht="39.950000000000003" customHeight="1" thickBot="1" x14ac:dyDescent="0.35">
      <c r="A109" s="32" t="s">
        <v>146</v>
      </c>
      <c r="B109" s="33" t="s">
        <v>87</v>
      </c>
      <c r="C109" s="34" t="s">
        <v>90</v>
      </c>
      <c r="D109" s="35" t="s">
        <v>91</v>
      </c>
      <c r="E109" s="36">
        <v>60000</v>
      </c>
      <c r="F109" s="36">
        <v>0</v>
      </c>
      <c r="G109" s="37">
        <v>0</v>
      </c>
      <c r="H109" s="37">
        <v>0</v>
      </c>
      <c r="I109" s="36">
        <v>0</v>
      </c>
      <c r="J109" s="36">
        <f>E109+F109-G109-I109</f>
        <v>60000</v>
      </c>
      <c r="K109" s="23"/>
      <c r="L109" s="22"/>
      <c r="M109" s="23"/>
    </row>
    <row r="110" spans="1:13" ht="50.25" customHeight="1" thickBot="1" x14ac:dyDescent="0.35">
      <c r="A110" s="32" t="s">
        <v>146</v>
      </c>
      <c r="B110" s="33" t="s">
        <v>87</v>
      </c>
      <c r="C110" s="34" t="s">
        <v>90</v>
      </c>
      <c r="D110" s="35" t="s">
        <v>147</v>
      </c>
      <c r="E110" s="36">
        <v>12000</v>
      </c>
      <c r="F110" s="36">
        <v>0</v>
      </c>
      <c r="G110" s="37">
        <v>0</v>
      </c>
      <c r="H110" s="37">
        <v>0</v>
      </c>
      <c r="I110" s="36">
        <v>0</v>
      </c>
      <c r="J110" s="36">
        <f>E110+F110-G110-I110</f>
        <v>12000</v>
      </c>
      <c r="K110" s="23"/>
      <c r="L110" s="22"/>
      <c r="M110" s="23"/>
    </row>
    <row r="111" spans="1:13" ht="39.950000000000003" customHeight="1" thickBot="1" x14ac:dyDescent="0.35">
      <c r="A111" s="32" t="s">
        <v>146</v>
      </c>
      <c r="B111" s="33" t="s">
        <v>87</v>
      </c>
      <c r="C111" s="34" t="s">
        <v>96</v>
      </c>
      <c r="D111" s="35"/>
      <c r="E111" s="36">
        <v>20000</v>
      </c>
      <c r="F111" s="36">
        <v>0</v>
      </c>
      <c r="G111" s="37">
        <v>0</v>
      </c>
      <c r="H111" s="37">
        <v>0</v>
      </c>
      <c r="I111" s="36">
        <v>0</v>
      </c>
      <c r="J111" s="36">
        <f>E111+F111-G111-I111</f>
        <v>20000</v>
      </c>
      <c r="K111" s="23"/>
      <c r="L111" s="22"/>
      <c r="M111" s="23"/>
    </row>
    <row r="112" spans="1:13" ht="21.75" customHeight="1" thickBot="1" x14ac:dyDescent="0.35">
      <c r="A112" s="49" t="s">
        <v>97</v>
      </c>
      <c r="B112" s="50"/>
      <c r="C112" s="50"/>
      <c r="D112" s="51"/>
      <c r="E112" s="41">
        <f t="shared" ref="E112:J112" si="26">SUM(E107:E111)</f>
        <v>122000</v>
      </c>
      <c r="F112" s="41">
        <f t="shared" si="26"/>
        <v>0</v>
      </c>
      <c r="G112" s="41">
        <f t="shared" si="26"/>
        <v>0</v>
      </c>
      <c r="H112" s="41">
        <f t="shared" si="26"/>
        <v>0</v>
      </c>
      <c r="I112" s="41">
        <f t="shared" si="26"/>
        <v>0</v>
      </c>
      <c r="J112" s="41">
        <f t="shared" si="26"/>
        <v>122000</v>
      </c>
      <c r="K112" s="23"/>
      <c r="L112" s="22"/>
      <c r="M112" s="23"/>
    </row>
    <row r="113" spans="1:13" ht="39.950000000000003" customHeight="1" thickBot="1" x14ac:dyDescent="0.35">
      <c r="A113" s="32" t="s">
        <v>146</v>
      </c>
      <c r="B113" s="33" t="s">
        <v>98</v>
      </c>
      <c r="C113" s="34" t="s">
        <v>99</v>
      </c>
      <c r="D113" s="35"/>
      <c r="E113" s="36">
        <v>20000</v>
      </c>
      <c r="F113" s="36">
        <v>0</v>
      </c>
      <c r="G113" s="37">
        <v>0</v>
      </c>
      <c r="H113" s="37">
        <v>0</v>
      </c>
      <c r="I113" s="36">
        <v>0</v>
      </c>
      <c r="J113" s="36">
        <f>E113+F113-G113-I113</f>
        <v>20000</v>
      </c>
      <c r="K113" s="23"/>
      <c r="L113" s="22"/>
      <c r="M113" s="23"/>
    </row>
    <row r="114" spans="1:13" ht="39.950000000000003" customHeight="1" thickBot="1" x14ac:dyDescent="0.35">
      <c r="A114" s="32" t="s">
        <v>146</v>
      </c>
      <c r="B114" s="33" t="s">
        <v>98</v>
      </c>
      <c r="C114" s="34" t="s">
        <v>104</v>
      </c>
      <c r="D114" s="35"/>
      <c r="E114" s="36">
        <v>20000</v>
      </c>
      <c r="F114" s="36">
        <v>0</v>
      </c>
      <c r="G114" s="37">
        <v>0</v>
      </c>
      <c r="H114" s="37">
        <v>0</v>
      </c>
      <c r="I114" s="36">
        <v>0</v>
      </c>
      <c r="J114" s="36">
        <f>E114+F114-G114-I114</f>
        <v>20000</v>
      </c>
      <c r="K114" s="23"/>
      <c r="L114" s="22"/>
      <c r="M114" s="23"/>
    </row>
    <row r="115" spans="1:13" ht="20.25" customHeight="1" thickBot="1" x14ac:dyDescent="0.35">
      <c r="A115" s="49" t="s">
        <v>105</v>
      </c>
      <c r="B115" s="50"/>
      <c r="C115" s="50"/>
      <c r="D115" s="51"/>
      <c r="E115" s="41">
        <f t="shared" ref="E115:J115" si="27">SUM(E113:E114)</f>
        <v>40000</v>
      </c>
      <c r="F115" s="41">
        <f t="shared" si="27"/>
        <v>0</v>
      </c>
      <c r="G115" s="41">
        <f t="shared" si="27"/>
        <v>0</v>
      </c>
      <c r="H115" s="41">
        <f t="shared" si="27"/>
        <v>0</v>
      </c>
      <c r="I115" s="41">
        <f t="shared" si="27"/>
        <v>0</v>
      </c>
      <c r="J115" s="41">
        <f t="shared" si="27"/>
        <v>40000</v>
      </c>
      <c r="K115" s="23"/>
      <c r="L115" s="22"/>
      <c r="M115" s="23"/>
    </row>
    <row r="116" spans="1:13" ht="39.950000000000003" customHeight="1" thickBot="1" x14ac:dyDescent="0.35">
      <c r="A116" s="32" t="s">
        <v>146</v>
      </c>
      <c r="B116" s="33" t="s">
        <v>112</v>
      </c>
      <c r="C116" s="34" t="s">
        <v>148</v>
      </c>
      <c r="D116" s="35" t="s">
        <v>149</v>
      </c>
      <c r="E116" s="36">
        <v>7000</v>
      </c>
      <c r="F116" s="36">
        <v>0</v>
      </c>
      <c r="G116" s="37">
        <v>0</v>
      </c>
      <c r="H116" s="37">
        <v>0</v>
      </c>
      <c r="I116" s="36">
        <v>0</v>
      </c>
      <c r="J116" s="36">
        <f>E116+F116-G116-I116</f>
        <v>7000</v>
      </c>
      <c r="K116" s="23"/>
      <c r="L116" s="22"/>
      <c r="M116" s="23"/>
    </row>
    <row r="117" spans="1:13" ht="39.950000000000003" customHeight="1" thickBot="1" x14ac:dyDescent="0.35">
      <c r="A117" s="32" t="s">
        <v>146</v>
      </c>
      <c r="B117" s="33" t="s">
        <v>112</v>
      </c>
      <c r="C117" s="34" t="s">
        <v>118</v>
      </c>
      <c r="D117" s="35" t="s">
        <v>119</v>
      </c>
      <c r="E117" s="36">
        <v>16000</v>
      </c>
      <c r="F117" s="36">
        <v>0</v>
      </c>
      <c r="G117" s="37">
        <v>0</v>
      </c>
      <c r="H117" s="37">
        <v>0</v>
      </c>
      <c r="I117" s="36">
        <v>0</v>
      </c>
      <c r="J117" s="36">
        <f>E117+F117-G117-I117</f>
        <v>16000</v>
      </c>
      <c r="K117" s="23"/>
      <c r="L117" s="22"/>
      <c r="M117" s="23"/>
    </row>
    <row r="118" spans="1:13" ht="39.950000000000003" customHeight="1" thickBot="1" x14ac:dyDescent="0.35">
      <c r="A118" s="32" t="s">
        <v>146</v>
      </c>
      <c r="B118" s="33" t="s">
        <v>112</v>
      </c>
      <c r="C118" s="34" t="s">
        <v>118</v>
      </c>
      <c r="D118" s="35" t="s">
        <v>150</v>
      </c>
      <c r="E118" s="36">
        <v>21000</v>
      </c>
      <c r="F118" s="36">
        <v>0</v>
      </c>
      <c r="G118" s="37">
        <v>0</v>
      </c>
      <c r="H118" s="37">
        <v>0</v>
      </c>
      <c r="I118" s="36">
        <v>0</v>
      </c>
      <c r="J118" s="36">
        <f>E118+F118-G118-I118</f>
        <v>21000</v>
      </c>
      <c r="K118" s="23"/>
      <c r="L118" s="22"/>
      <c r="M118" s="23"/>
    </row>
    <row r="119" spans="1:13" ht="55.5" customHeight="1" thickBot="1" x14ac:dyDescent="0.35">
      <c r="A119" s="32" t="s">
        <v>146</v>
      </c>
      <c r="B119" s="33" t="s">
        <v>112</v>
      </c>
      <c r="C119" s="34" t="s">
        <v>118</v>
      </c>
      <c r="D119" s="35" t="s">
        <v>120</v>
      </c>
      <c r="E119" s="36">
        <v>4300</v>
      </c>
      <c r="F119" s="36">
        <v>0</v>
      </c>
      <c r="G119" s="37">
        <v>0</v>
      </c>
      <c r="H119" s="37">
        <v>0</v>
      </c>
      <c r="I119" s="36">
        <v>0</v>
      </c>
      <c r="J119" s="36">
        <f>E119+F119-G119-I119</f>
        <v>4300</v>
      </c>
      <c r="K119" s="23"/>
      <c r="L119" s="22"/>
      <c r="M119" s="23"/>
    </row>
    <row r="120" spans="1:13" ht="39.950000000000003" customHeight="1" thickBot="1" x14ac:dyDescent="0.35">
      <c r="A120" s="32" t="s">
        <v>146</v>
      </c>
      <c r="B120" s="33" t="s">
        <v>112</v>
      </c>
      <c r="C120" s="34" t="s">
        <v>118</v>
      </c>
      <c r="D120" s="35" t="s">
        <v>121</v>
      </c>
      <c r="E120" s="36">
        <v>3100</v>
      </c>
      <c r="F120" s="36">
        <v>0</v>
      </c>
      <c r="G120" s="37">
        <v>0</v>
      </c>
      <c r="H120" s="37">
        <v>0</v>
      </c>
      <c r="I120" s="36">
        <v>0</v>
      </c>
      <c r="J120" s="36">
        <f>E120+F120-G120-I120</f>
        <v>3100</v>
      </c>
      <c r="K120" s="23"/>
      <c r="L120" s="22"/>
      <c r="M120" s="23"/>
    </row>
    <row r="121" spans="1:13" s="58" customFormat="1" ht="17.25" customHeight="1" thickBot="1" x14ac:dyDescent="0.35">
      <c r="A121" s="52" t="s">
        <v>123</v>
      </c>
      <c r="B121" s="53"/>
      <c r="C121" s="53"/>
      <c r="D121" s="54"/>
      <c r="E121" s="55">
        <f t="shared" ref="E121:J121" si="28">SUM(E116:E120)</f>
        <v>51400</v>
      </c>
      <c r="F121" s="55">
        <f t="shared" si="28"/>
        <v>0</v>
      </c>
      <c r="G121" s="55">
        <f t="shared" si="28"/>
        <v>0</v>
      </c>
      <c r="H121" s="55">
        <f t="shared" si="28"/>
        <v>0</v>
      </c>
      <c r="I121" s="55">
        <f t="shared" si="28"/>
        <v>0</v>
      </c>
      <c r="J121" s="55">
        <f t="shared" si="28"/>
        <v>51400</v>
      </c>
      <c r="K121" s="56"/>
      <c r="L121" s="57"/>
      <c r="M121" s="56"/>
    </row>
    <row r="122" spans="1:13" s="58" customFormat="1" ht="18" customHeight="1" thickBot="1" x14ac:dyDescent="0.35">
      <c r="A122" s="52" t="s">
        <v>151</v>
      </c>
      <c r="B122" s="53"/>
      <c r="C122" s="53"/>
      <c r="D122" s="54"/>
      <c r="E122" s="55">
        <f t="shared" ref="E122:J122" si="29">E106+E112+E115+E102+E121</f>
        <v>1462220</v>
      </c>
      <c r="F122" s="55">
        <f t="shared" si="29"/>
        <v>24000</v>
      </c>
      <c r="G122" s="55">
        <f t="shared" si="29"/>
        <v>59000</v>
      </c>
      <c r="H122" s="55">
        <f t="shared" si="29"/>
        <v>68660</v>
      </c>
      <c r="I122" s="55">
        <f t="shared" si="29"/>
        <v>205183.22</v>
      </c>
      <c r="J122" s="55">
        <f t="shared" si="29"/>
        <v>1222036.78</v>
      </c>
      <c r="K122" s="56"/>
      <c r="L122" s="57"/>
      <c r="M122" s="56"/>
    </row>
    <row r="123" spans="1:13" s="31" customFormat="1" ht="39.950000000000003" customHeight="1" thickBot="1" x14ac:dyDescent="0.35">
      <c r="A123" s="26" t="s">
        <v>54</v>
      </c>
      <c r="B123" s="26" t="s">
        <v>55</v>
      </c>
      <c r="C123" s="27" t="s">
        <v>56</v>
      </c>
      <c r="D123" s="28" t="s">
        <v>57</v>
      </c>
      <c r="E123" s="29" t="s">
        <v>58</v>
      </c>
      <c r="F123" s="29" t="s">
        <v>59</v>
      </c>
      <c r="G123" s="30" t="s">
        <v>60</v>
      </c>
      <c r="H123" s="30" t="s">
        <v>61</v>
      </c>
      <c r="I123" s="29" t="s">
        <v>62</v>
      </c>
      <c r="J123" s="29" t="s">
        <v>63</v>
      </c>
      <c r="K123" s="23"/>
      <c r="L123" s="22"/>
      <c r="M123" s="23"/>
    </row>
    <row r="124" spans="1:13" ht="39.950000000000003" customHeight="1" thickBot="1" x14ac:dyDescent="0.35">
      <c r="A124" s="32" t="s">
        <v>152</v>
      </c>
      <c r="B124" s="33" t="s">
        <v>87</v>
      </c>
      <c r="C124" s="34" t="s">
        <v>90</v>
      </c>
      <c r="D124" s="35" t="s">
        <v>153</v>
      </c>
      <c r="E124" s="36">
        <v>136000</v>
      </c>
      <c r="F124" s="36">
        <v>20000</v>
      </c>
      <c r="G124" s="37">
        <v>0</v>
      </c>
      <c r="H124" s="37">
        <v>17890</v>
      </c>
      <c r="I124" s="36">
        <f>H124</f>
        <v>17890</v>
      </c>
      <c r="J124" s="36">
        <f>E124+F124-G124-I124</f>
        <v>138110</v>
      </c>
      <c r="K124" s="23"/>
      <c r="L124" s="22"/>
      <c r="M124" s="23"/>
    </row>
    <row r="125" spans="1:13" ht="56.25" customHeight="1" thickBot="1" x14ac:dyDescent="0.35">
      <c r="A125" s="32" t="s">
        <v>152</v>
      </c>
      <c r="B125" s="33" t="s">
        <v>87</v>
      </c>
      <c r="C125" s="34" t="s">
        <v>90</v>
      </c>
      <c r="D125" s="35" t="s">
        <v>154</v>
      </c>
      <c r="E125" s="36">
        <v>638400</v>
      </c>
      <c r="F125" s="36">
        <v>0</v>
      </c>
      <c r="G125" s="37">
        <v>0</v>
      </c>
      <c r="H125" s="37">
        <v>109440</v>
      </c>
      <c r="I125" s="36">
        <f>H125</f>
        <v>109440</v>
      </c>
      <c r="J125" s="36">
        <f>E125+F125-G125-I125</f>
        <v>528960</v>
      </c>
      <c r="K125" s="23"/>
      <c r="L125" s="22"/>
      <c r="M125" s="23"/>
    </row>
    <row r="126" spans="1:13" ht="21" customHeight="1" thickBot="1" x14ac:dyDescent="0.35">
      <c r="A126" s="49" t="s">
        <v>97</v>
      </c>
      <c r="B126" s="50"/>
      <c r="C126" s="50"/>
      <c r="D126" s="51"/>
      <c r="E126" s="41">
        <f t="shared" ref="E126:J126" si="30">SUM(E124:E125)</f>
        <v>774400</v>
      </c>
      <c r="F126" s="41">
        <f t="shared" si="30"/>
        <v>20000</v>
      </c>
      <c r="G126" s="41">
        <f t="shared" si="30"/>
        <v>0</v>
      </c>
      <c r="H126" s="41">
        <f t="shared" si="30"/>
        <v>127330</v>
      </c>
      <c r="I126" s="41">
        <f t="shared" si="30"/>
        <v>127330</v>
      </c>
      <c r="J126" s="41">
        <f t="shared" si="30"/>
        <v>667070</v>
      </c>
      <c r="K126" s="23"/>
      <c r="L126" s="22"/>
      <c r="M126" s="23"/>
    </row>
    <row r="127" spans="1:13" ht="39.950000000000003" customHeight="1" thickBot="1" x14ac:dyDescent="0.35">
      <c r="A127" s="32" t="s">
        <v>152</v>
      </c>
      <c r="B127" s="33" t="s">
        <v>98</v>
      </c>
      <c r="C127" s="34" t="s">
        <v>155</v>
      </c>
      <c r="D127" s="35"/>
      <c r="E127" s="36">
        <v>1007480</v>
      </c>
      <c r="F127" s="36">
        <v>0</v>
      </c>
      <c r="G127" s="37">
        <v>0</v>
      </c>
      <c r="H127" s="37">
        <v>71439.06</v>
      </c>
      <c r="I127" s="36">
        <f>H127</f>
        <v>71439.06</v>
      </c>
      <c r="J127" s="36">
        <f>E127+F127-G127-I127</f>
        <v>936040.94</v>
      </c>
      <c r="K127" s="23"/>
      <c r="L127" s="22"/>
      <c r="M127" s="23"/>
    </row>
    <row r="128" spans="1:13" ht="21" customHeight="1" thickBot="1" x14ac:dyDescent="0.35">
      <c r="A128" s="49" t="s">
        <v>105</v>
      </c>
      <c r="B128" s="50"/>
      <c r="C128" s="50"/>
      <c r="D128" s="51"/>
      <c r="E128" s="41">
        <f t="shared" ref="E128:J128" si="31">E127</f>
        <v>1007480</v>
      </c>
      <c r="F128" s="41">
        <f t="shared" si="31"/>
        <v>0</v>
      </c>
      <c r="G128" s="41">
        <f t="shared" si="31"/>
        <v>0</v>
      </c>
      <c r="H128" s="41">
        <f t="shared" si="31"/>
        <v>71439.06</v>
      </c>
      <c r="I128" s="41">
        <f t="shared" si="31"/>
        <v>71439.06</v>
      </c>
      <c r="J128" s="41">
        <f t="shared" si="31"/>
        <v>936040.94</v>
      </c>
      <c r="K128" s="23"/>
      <c r="L128" s="22"/>
      <c r="M128" s="23"/>
    </row>
    <row r="129" spans="1:13" ht="39.950000000000003" customHeight="1" thickBot="1" x14ac:dyDescent="0.35">
      <c r="A129" s="32" t="s">
        <v>152</v>
      </c>
      <c r="B129" s="33" t="s">
        <v>130</v>
      </c>
      <c r="C129" s="34" t="s">
        <v>156</v>
      </c>
      <c r="D129" s="35"/>
      <c r="E129" s="36">
        <v>1612000</v>
      </c>
      <c r="F129" s="36">
        <v>0</v>
      </c>
      <c r="G129" s="37">
        <v>0</v>
      </c>
      <c r="H129" s="37">
        <v>235000</v>
      </c>
      <c r="I129" s="36">
        <f>H129</f>
        <v>235000</v>
      </c>
      <c r="J129" s="36">
        <f>E129+F129-G129-I129</f>
        <v>1377000</v>
      </c>
      <c r="K129" s="23"/>
      <c r="L129" s="22"/>
      <c r="M129" s="23"/>
    </row>
    <row r="130" spans="1:13" ht="20.25" customHeight="1" thickBot="1" x14ac:dyDescent="0.35">
      <c r="A130" s="49" t="s">
        <v>132</v>
      </c>
      <c r="B130" s="50"/>
      <c r="C130" s="50"/>
      <c r="D130" s="51"/>
      <c r="E130" s="41">
        <f t="shared" ref="E130:J130" si="32">E129</f>
        <v>1612000</v>
      </c>
      <c r="F130" s="41">
        <f t="shared" si="32"/>
        <v>0</v>
      </c>
      <c r="G130" s="41">
        <f t="shared" si="32"/>
        <v>0</v>
      </c>
      <c r="H130" s="41">
        <f t="shared" si="32"/>
        <v>235000</v>
      </c>
      <c r="I130" s="41">
        <f t="shared" si="32"/>
        <v>235000</v>
      </c>
      <c r="J130" s="41">
        <f t="shared" si="32"/>
        <v>1377000</v>
      </c>
      <c r="K130" s="23"/>
      <c r="L130" s="22"/>
      <c r="M130" s="23"/>
    </row>
    <row r="131" spans="1:13" ht="24" customHeight="1" thickBot="1" x14ac:dyDescent="0.35">
      <c r="A131" s="38" t="s">
        <v>157</v>
      </c>
      <c r="B131" s="39"/>
      <c r="C131" s="39"/>
      <c r="D131" s="40"/>
      <c r="E131" s="41">
        <f t="shared" ref="E131:J131" si="33">E126+E128+E130</f>
        <v>3393880</v>
      </c>
      <c r="F131" s="41">
        <f t="shared" si="33"/>
        <v>20000</v>
      </c>
      <c r="G131" s="41">
        <f t="shared" si="33"/>
        <v>0</v>
      </c>
      <c r="H131" s="41">
        <f t="shared" si="33"/>
        <v>433769.06</v>
      </c>
      <c r="I131" s="41">
        <f t="shared" si="33"/>
        <v>433769.06</v>
      </c>
      <c r="J131" s="41">
        <f t="shared" si="33"/>
        <v>2980110.94</v>
      </c>
      <c r="K131" s="23"/>
      <c r="L131" s="22"/>
      <c r="M131" s="23"/>
    </row>
    <row r="132" spans="1:13" ht="52.5" customHeight="1" thickBot="1" x14ac:dyDescent="0.35">
      <c r="A132" s="32" t="s">
        <v>158</v>
      </c>
      <c r="B132" s="33" t="s">
        <v>87</v>
      </c>
      <c r="C132" s="34" t="s">
        <v>90</v>
      </c>
      <c r="D132" s="35" t="s">
        <v>159</v>
      </c>
      <c r="E132" s="36">
        <v>80000</v>
      </c>
      <c r="F132" s="36">
        <v>0</v>
      </c>
      <c r="G132" s="37">
        <v>0</v>
      </c>
      <c r="H132" s="37">
        <v>0</v>
      </c>
      <c r="I132" s="36">
        <v>0</v>
      </c>
      <c r="J132" s="36">
        <f>E132+F132-G132-I132</f>
        <v>80000</v>
      </c>
      <c r="K132" s="23"/>
      <c r="L132" s="22"/>
      <c r="M132" s="23"/>
    </row>
    <row r="133" spans="1:13" ht="52.5" customHeight="1" thickBot="1" x14ac:dyDescent="0.35">
      <c r="A133" s="32" t="s">
        <v>158</v>
      </c>
      <c r="B133" s="33" t="s">
        <v>87</v>
      </c>
      <c r="C133" s="34" t="s">
        <v>90</v>
      </c>
      <c r="D133" s="35" t="s">
        <v>160</v>
      </c>
      <c r="E133" s="36">
        <v>74000</v>
      </c>
      <c r="F133" s="36">
        <v>0</v>
      </c>
      <c r="G133" s="37">
        <v>0</v>
      </c>
      <c r="H133" s="37">
        <v>0</v>
      </c>
      <c r="I133" s="36">
        <v>0</v>
      </c>
      <c r="J133" s="36">
        <f>E133+F133-G133-I133</f>
        <v>74000</v>
      </c>
      <c r="K133" s="23"/>
      <c r="L133" s="22"/>
      <c r="M133" s="23"/>
    </row>
    <row r="134" spans="1:13" ht="25.5" customHeight="1" thickBot="1" x14ac:dyDescent="0.35">
      <c r="A134" s="49" t="s">
        <v>97</v>
      </c>
      <c r="B134" s="50"/>
      <c r="C134" s="50"/>
      <c r="D134" s="51"/>
      <c r="E134" s="41">
        <f t="shared" ref="E134:J134" si="34">SUM(E132:E133)</f>
        <v>154000</v>
      </c>
      <c r="F134" s="41">
        <f t="shared" si="34"/>
        <v>0</v>
      </c>
      <c r="G134" s="41">
        <f t="shared" si="34"/>
        <v>0</v>
      </c>
      <c r="H134" s="41">
        <f t="shared" si="34"/>
        <v>0</v>
      </c>
      <c r="I134" s="41">
        <f t="shared" si="34"/>
        <v>0</v>
      </c>
      <c r="J134" s="41">
        <f t="shared" si="34"/>
        <v>154000</v>
      </c>
      <c r="K134" s="23"/>
      <c r="L134" s="22"/>
      <c r="M134" s="23"/>
    </row>
    <row r="135" spans="1:13" ht="39.950000000000003" customHeight="1" thickBot="1" x14ac:dyDescent="0.35">
      <c r="A135" s="32" t="s">
        <v>158</v>
      </c>
      <c r="B135" s="33" t="s">
        <v>98</v>
      </c>
      <c r="C135" s="34" t="s">
        <v>161</v>
      </c>
      <c r="D135" s="35"/>
      <c r="E135" s="36">
        <v>50000</v>
      </c>
      <c r="F135" s="36">
        <v>0</v>
      </c>
      <c r="G135" s="37">
        <v>0</v>
      </c>
      <c r="H135" s="37">
        <v>0</v>
      </c>
      <c r="I135" s="36">
        <v>0</v>
      </c>
      <c r="J135" s="36">
        <f>E135+F135-G135-I135</f>
        <v>50000</v>
      </c>
      <c r="K135" s="23"/>
      <c r="L135" s="22"/>
      <c r="M135" s="23"/>
    </row>
    <row r="136" spans="1:13" ht="25.5" customHeight="1" thickBot="1" x14ac:dyDescent="0.35">
      <c r="A136" s="49" t="s">
        <v>105</v>
      </c>
      <c r="B136" s="50"/>
      <c r="C136" s="50"/>
      <c r="D136" s="51"/>
      <c r="E136" s="41">
        <f t="shared" ref="E136:J136" si="35">E135</f>
        <v>50000</v>
      </c>
      <c r="F136" s="41">
        <f t="shared" si="35"/>
        <v>0</v>
      </c>
      <c r="G136" s="41">
        <f t="shared" si="35"/>
        <v>0</v>
      </c>
      <c r="H136" s="41">
        <f t="shared" si="35"/>
        <v>0</v>
      </c>
      <c r="I136" s="41">
        <f t="shared" si="35"/>
        <v>0</v>
      </c>
      <c r="J136" s="41">
        <f t="shared" si="35"/>
        <v>50000</v>
      </c>
      <c r="K136" s="23"/>
      <c r="L136" s="22"/>
      <c r="M136" s="23"/>
    </row>
    <row r="137" spans="1:13" ht="25.5" customHeight="1" thickBot="1" x14ac:dyDescent="0.35">
      <c r="A137" s="43"/>
      <c r="B137" s="43"/>
      <c r="C137" s="43"/>
      <c r="D137" s="43"/>
      <c r="E137" s="47"/>
      <c r="F137" s="47"/>
      <c r="G137" s="47"/>
      <c r="H137" s="47"/>
      <c r="I137" s="47"/>
      <c r="J137" s="47"/>
      <c r="K137" s="23"/>
      <c r="L137" s="22"/>
      <c r="M137" s="23"/>
    </row>
    <row r="138" spans="1:13" s="31" customFormat="1" ht="39.950000000000003" customHeight="1" thickBot="1" x14ac:dyDescent="0.35">
      <c r="A138" s="26" t="s">
        <v>54</v>
      </c>
      <c r="B138" s="26" t="s">
        <v>55</v>
      </c>
      <c r="C138" s="27" t="s">
        <v>56</v>
      </c>
      <c r="D138" s="28" t="s">
        <v>57</v>
      </c>
      <c r="E138" s="29" t="s">
        <v>58</v>
      </c>
      <c r="F138" s="29" t="s">
        <v>59</v>
      </c>
      <c r="G138" s="30" t="s">
        <v>60</v>
      </c>
      <c r="H138" s="30" t="s">
        <v>61</v>
      </c>
      <c r="I138" s="29" t="s">
        <v>62</v>
      </c>
      <c r="J138" s="29" t="s">
        <v>63</v>
      </c>
      <c r="K138" s="23"/>
      <c r="L138" s="22"/>
      <c r="M138" s="23"/>
    </row>
    <row r="139" spans="1:13" ht="39.950000000000003" customHeight="1" thickBot="1" x14ac:dyDescent="0.35">
      <c r="A139" s="32" t="s">
        <v>158</v>
      </c>
      <c r="B139" s="33" t="s">
        <v>130</v>
      </c>
      <c r="C139" s="34" t="s">
        <v>162</v>
      </c>
      <c r="D139" s="35"/>
      <c r="E139" s="36">
        <v>225000</v>
      </c>
      <c r="F139" s="36">
        <v>0</v>
      </c>
      <c r="G139" s="37">
        <v>0</v>
      </c>
      <c r="H139" s="37">
        <v>0</v>
      </c>
      <c r="I139" s="36">
        <v>0</v>
      </c>
      <c r="J139" s="36">
        <f>E139+F139-G139-I139</f>
        <v>225000</v>
      </c>
      <c r="K139" s="23"/>
      <c r="L139" s="22"/>
      <c r="M139" s="23"/>
    </row>
    <row r="140" spans="1:13" ht="21" customHeight="1" thickBot="1" x14ac:dyDescent="0.35">
      <c r="A140" s="49" t="s">
        <v>132</v>
      </c>
      <c r="B140" s="50"/>
      <c r="C140" s="50"/>
      <c r="D140" s="51"/>
      <c r="E140" s="41">
        <f t="shared" ref="E140:J140" si="36">E139</f>
        <v>225000</v>
      </c>
      <c r="F140" s="41">
        <f t="shared" si="36"/>
        <v>0</v>
      </c>
      <c r="G140" s="41">
        <f t="shared" si="36"/>
        <v>0</v>
      </c>
      <c r="H140" s="41">
        <f t="shared" si="36"/>
        <v>0</v>
      </c>
      <c r="I140" s="41">
        <f t="shared" si="36"/>
        <v>0</v>
      </c>
      <c r="J140" s="41">
        <f t="shared" si="36"/>
        <v>225000</v>
      </c>
      <c r="K140" s="23"/>
      <c r="L140" s="22"/>
      <c r="M140" s="23"/>
    </row>
    <row r="141" spans="1:13" ht="24" customHeight="1" thickBot="1" x14ac:dyDescent="0.35">
      <c r="A141" s="38" t="s">
        <v>163</v>
      </c>
      <c r="B141" s="39"/>
      <c r="C141" s="39"/>
      <c r="D141" s="40"/>
      <c r="E141" s="41">
        <f t="shared" ref="E141:J141" si="37">E134+E136+E140</f>
        <v>429000</v>
      </c>
      <c r="F141" s="41">
        <f t="shared" si="37"/>
        <v>0</v>
      </c>
      <c r="G141" s="41">
        <f t="shared" si="37"/>
        <v>0</v>
      </c>
      <c r="H141" s="41">
        <f t="shared" si="37"/>
        <v>0</v>
      </c>
      <c r="I141" s="41">
        <f t="shared" si="37"/>
        <v>0</v>
      </c>
      <c r="J141" s="41">
        <f t="shared" si="37"/>
        <v>429000</v>
      </c>
      <c r="K141" s="23"/>
      <c r="L141" s="22"/>
      <c r="M141" s="23"/>
    </row>
    <row r="142" spans="1:13" ht="39.950000000000003" customHeight="1" thickBot="1" x14ac:dyDescent="0.35">
      <c r="A142" s="32" t="s">
        <v>164</v>
      </c>
      <c r="B142" s="33" t="s">
        <v>72</v>
      </c>
      <c r="C142" s="34" t="s">
        <v>73</v>
      </c>
      <c r="D142" s="35"/>
      <c r="E142" s="36">
        <v>697440</v>
      </c>
      <c r="F142" s="36">
        <v>0</v>
      </c>
      <c r="G142" s="37">
        <v>0</v>
      </c>
      <c r="H142" s="37">
        <v>58275.33</v>
      </c>
      <c r="I142" s="36">
        <f>H142+56613.67+55850</f>
        <v>170739</v>
      </c>
      <c r="J142" s="36">
        <f>E142+F142-G142-I142</f>
        <v>526701</v>
      </c>
      <c r="K142" s="23"/>
      <c r="L142" s="22"/>
      <c r="M142" s="23"/>
    </row>
    <row r="143" spans="1:13" ht="39.950000000000003" customHeight="1" thickBot="1" x14ac:dyDescent="0.35">
      <c r="A143" s="32" t="s">
        <v>164</v>
      </c>
      <c r="B143" s="33" t="s">
        <v>72</v>
      </c>
      <c r="C143" s="34" t="s">
        <v>75</v>
      </c>
      <c r="D143" s="35"/>
      <c r="E143" s="36">
        <v>42000</v>
      </c>
      <c r="F143" s="36">
        <v>0</v>
      </c>
      <c r="G143" s="37">
        <v>0</v>
      </c>
      <c r="H143" s="37">
        <v>3500</v>
      </c>
      <c r="I143" s="36">
        <f>H143+3500+3500</f>
        <v>10500</v>
      </c>
      <c r="J143" s="36">
        <f>E143+F143-G143-I143</f>
        <v>31500</v>
      </c>
      <c r="K143" s="23"/>
      <c r="L143" s="22"/>
      <c r="M143" s="23"/>
    </row>
    <row r="144" spans="1:13" ht="39.950000000000003" customHeight="1" thickBot="1" x14ac:dyDescent="0.35">
      <c r="A144" s="32" t="s">
        <v>164</v>
      </c>
      <c r="B144" s="33" t="s">
        <v>72</v>
      </c>
      <c r="C144" s="34" t="s">
        <v>78</v>
      </c>
      <c r="D144" s="35"/>
      <c r="E144" s="36">
        <v>724920</v>
      </c>
      <c r="F144" s="36">
        <v>0</v>
      </c>
      <c r="G144" s="37">
        <v>0</v>
      </c>
      <c r="H144" s="37">
        <v>58720</v>
      </c>
      <c r="I144" s="36">
        <f>H144+69120+58720</f>
        <v>186560</v>
      </c>
      <c r="J144" s="36">
        <f>E144+F144-G144-I144</f>
        <v>538360</v>
      </c>
      <c r="K144" s="23"/>
      <c r="L144" s="22"/>
      <c r="M144" s="23"/>
    </row>
    <row r="145" spans="1:13" ht="39.950000000000003" customHeight="1" thickBot="1" x14ac:dyDescent="0.35">
      <c r="A145" s="32" t="s">
        <v>164</v>
      </c>
      <c r="B145" s="33" t="s">
        <v>72</v>
      </c>
      <c r="C145" s="34" t="s">
        <v>79</v>
      </c>
      <c r="D145" s="35"/>
      <c r="E145" s="36">
        <v>60000</v>
      </c>
      <c r="F145" s="36">
        <v>0</v>
      </c>
      <c r="G145" s="37">
        <v>0</v>
      </c>
      <c r="H145" s="37">
        <v>6265</v>
      </c>
      <c r="I145" s="36">
        <f>H145+6265+6265</f>
        <v>18795</v>
      </c>
      <c r="J145" s="36">
        <f>E145+F145-G145-I145</f>
        <v>41205</v>
      </c>
      <c r="K145" s="23"/>
      <c r="L145" s="22"/>
      <c r="M145" s="23"/>
    </row>
    <row r="146" spans="1:13" ht="22.5" customHeight="1" thickBot="1" x14ac:dyDescent="0.35">
      <c r="A146" s="38" t="s">
        <v>80</v>
      </c>
      <c r="B146" s="39"/>
      <c r="C146" s="39"/>
      <c r="D146" s="40"/>
      <c r="E146" s="41">
        <f t="shared" ref="E146:J146" si="38">SUM(E142:E145)</f>
        <v>1524360</v>
      </c>
      <c r="F146" s="41">
        <f t="shared" si="38"/>
        <v>0</v>
      </c>
      <c r="G146" s="41">
        <f t="shared" si="38"/>
        <v>0</v>
      </c>
      <c r="H146" s="41">
        <f t="shared" si="38"/>
        <v>126760.33</v>
      </c>
      <c r="I146" s="41">
        <f t="shared" si="38"/>
        <v>386594</v>
      </c>
      <c r="J146" s="41">
        <f t="shared" si="38"/>
        <v>1137766</v>
      </c>
      <c r="K146" s="23"/>
      <c r="L146" s="22"/>
      <c r="M146" s="23"/>
    </row>
    <row r="147" spans="1:13" ht="39.950000000000003" customHeight="1" thickBot="1" x14ac:dyDescent="0.35">
      <c r="A147" s="32" t="s">
        <v>164</v>
      </c>
      <c r="B147" s="33" t="s">
        <v>81</v>
      </c>
      <c r="C147" s="34" t="s">
        <v>82</v>
      </c>
      <c r="D147" s="35"/>
      <c r="E147" s="36">
        <v>158600</v>
      </c>
      <c r="F147" s="36">
        <v>0</v>
      </c>
      <c r="G147" s="37">
        <v>0</v>
      </c>
      <c r="H147" s="37">
        <v>0</v>
      </c>
      <c r="I147" s="36">
        <v>0</v>
      </c>
      <c r="J147" s="36">
        <f>E147+F147-G147-I147</f>
        <v>158600</v>
      </c>
      <c r="K147" s="23"/>
      <c r="L147" s="22"/>
      <c r="M147" s="23"/>
    </row>
    <row r="148" spans="1:13" ht="39.950000000000003" customHeight="1" thickBot="1" x14ac:dyDescent="0.35">
      <c r="A148" s="32" t="s">
        <v>164</v>
      </c>
      <c r="B148" s="33" t="s">
        <v>81</v>
      </c>
      <c r="C148" s="34" t="s">
        <v>83</v>
      </c>
      <c r="D148" s="35"/>
      <c r="E148" s="36">
        <v>40000</v>
      </c>
      <c r="F148" s="36">
        <v>0</v>
      </c>
      <c r="G148" s="37">
        <v>0</v>
      </c>
      <c r="H148" s="37">
        <v>0</v>
      </c>
      <c r="I148" s="36">
        <v>0</v>
      </c>
      <c r="J148" s="36">
        <f>E148+F148-G148-I148</f>
        <v>40000</v>
      </c>
      <c r="K148" s="23"/>
      <c r="L148" s="22"/>
      <c r="M148" s="23"/>
    </row>
    <row r="149" spans="1:13" ht="39.950000000000003" customHeight="1" thickBot="1" x14ac:dyDescent="0.35">
      <c r="A149" s="32" t="s">
        <v>164</v>
      </c>
      <c r="B149" s="33" t="s">
        <v>81</v>
      </c>
      <c r="C149" s="34" t="s">
        <v>84</v>
      </c>
      <c r="D149" s="35"/>
      <c r="E149" s="36">
        <v>51000</v>
      </c>
      <c r="F149" s="36">
        <v>0</v>
      </c>
      <c r="G149" s="37">
        <v>0</v>
      </c>
      <c r="H149" s="37">
        <v>3750</v>
      </c>
      <c r="I149" s="36">
        <f>H149+3750+3750</f>
        <v>11250</v>
      </c>
      <c r="J149" s="36">
        <f>E149+F149-G149-I149</f>
        <v>39750</v>
      </c>
      <c r="K149" s="23"/>
      <c r="L149" s="22"/>
      <c r="M149" s="23"/>
    </row>
    <row r="150" spans="1:13" ht="39.950000000000003" customHeight="1" thickBot="1" x14ac:dyDescent="0.35">
      <c r="A150" s="32" t="s">
        <v>164</v>
      </c>
      <c r="B150" s="33" t="s">
        <v>81</v>
      </c>
      <c r="C150" s="34" t="s">
        <v>85</v>
      </c>
      <c r="D150" s="35"/>
      <c r="E150" s="36">
        <v>30000</v>
      </c>
      <c r="F150" s="36">
        <v>0</v>
      </c>
      <c r="G150" s="37">
        <v>0</v>
      </c>
      <c r="H150" s="37">
        <v>0</v>
      </c>
      <c r="I150" s="36">
        <v>0</v>
      </c>
      <c r="J150" s="36">
        <f>E150+F150-G150-I150</f>
        <v>30000</v>
      </c>
      <c r="K150" s="23"/>
      <c r="L150" s="22"/>
      <c r="M150" s="23"/>
    </row>
    <row r="151" spans="1:13" ht="20.25" customHeight="1" thickBot="1" x14ac:dyDescent="0.35">
      <c r="A151" s="49" t="s">
        <v>86</v>
      </c>
      <c r="B151" s="50"/>
      <c r="C151" s="50"/>
      <c r="D151" s="51"/>
      <c r="E151" s="41">
        <f t="shared" ref="E151:J151" si="39">SUM(E147:E150)</f>
        <v>279600</v>
      </c>
      <c r="F151" s="41">
        <f t="shared" si="39"/>
        <v>0</v>
      </c>
      <c r="G151" s="41">
        <f t="shared" si="39"/>
        <v>0</v>
      </c>
      <c r="H151" s="41">
        <f t="shared" si="39"/>
        <v>3750</v>
      </c>
      <c r="I151" s="41">
        <f t="shared" si="39"/>
        <v>11250</v>
      </c>
      <c r="J151" s="41">
        <f t="shared" si="39"/>
        <v>268350</v>
      </c>
      <c r="K151" s="23"/>
      <c r="L151" s="22"/>
      <c r="M151" s="23"/>
    </row>
    <row r="152" spans="1:13" ht="22.5" customHeight="1" x14ac:dyDescent="0.3">
      <c r="A152" s="59"/>
      <c r="B152" s="59"/>
      <c r="C152" s="59"/>
      <c r="D152" s="59"/>
      <c r="E152" s="47"/>
      <c r="F152" s="47"/>
      <c r="G152" s="47"/>
      <c r="H152" s="47"/>
      <c r="I152" s="47"/>
      <c r="J152" s="47"/>
      <c r="K152" s="23"/>
      <c r="L152" s="22"/>
      <c r="M152" s="23"/>
    </row>
    <row r="153" spans="1:13" ht="22.5" customHeight="1" thickBot="1" x14ac:dyDescent="0.35">
      <c r="A153" s="22"/>
      <c r="B153" s="22"/>
      <c r="C153" s="22"/>
      <c r="D153" s="22"/>
      <c r="E153" s="60"/>
      <c r="F153" s="60"/>
      <c r="G153" s="60"/>
      <c r="H153" s="60"/>
      <c r="I153" s="60"/>
      <c r="J153" s="60"/>
      <c r="K153" s="23"/>
      <c r="L153" s="22"/>
      <c r="M153" s="23"/>
    </row>
    <row r="154" spans="1:13" s="31" customFormat="1" ht="39.950000000000003" customHeight="1" thickBot="1" x14ac:dyDescent="0.35">
      <c r="A154" s="26" t="s">
        <v>54</v>
      </c>
      <c r="B154" s="26" t="s">
        <v>55</v>
      </c>
      <c r="C154" s="27" t="s">
        <v>56</v>
      </c>
      <c r="D154" s="28" t="s">
        <v>57</v>
      </c>
      <c r="E154" s="29" t="s">
        <v>58</v>
      </c>
      <c r="F154" s="29" t="s">
        <v>59</v>
      </c>
      <c r="G154" s="30" t="s">
        <v>60</v>
      </c>
      <c r="H154" s="30" t="s">
        <v>61</v>
      </c>
      <c r="I154" s="29" t="s">
        <v>62</v>
      </c>
      <c r="J154" s="29" t="s">
        <v>63</v>
      </c>
      <c r="K154" s="23"/>
      <c r="L154" s="22"/>
      <c r="M154" s="23"/>
    </row>
    <row r="155" spans="1:13" ht="39.950000000000003" customHeight="1" thickBot="1" x14ac:dyDescent="0.35">
      <c r="A155" s="32" t="s">
        <v>164</v>
      </c>
      <c r="B155" s="33" t="s">
        <v>87</v>
      </c>
      <c r="C155" s="34" t="s">
        <v>88</v>
      </c>
      <c r="D155" s="35"/>
      <c r="E155" s="36">
        <v>300000</v>
      </c>
      <c r="F155" s="36">
        <v>0</v>
      </c>
      <c r="G155" s="37">
        <v>0</v>
      </c>
      <c r="H155" s="37">
        <f>8000+29000+121000</f>
        <v>158000</v>
      </c>
      <c r="I155" s="36">
        <f>H155+3800</f>
        <v>161800</v>
      </c>
      <c r="J155" s="36">
        <f>E155+F155-G155-I155</f>
        <v>138200</v>
      </c>
      <c r="K155" s="23"/>
      <c r="L155" s="22"/>
      <c r="M155" s="23"/>
    </row>
    <row r="156" spans="1:13" ht="39.950000000000003" customHeight="1" thickBot="1" x14ac:dyDescent="0.35">
      <c r="A156" s="32" t="s">
        <v>164</v>
      </c>
      <c r="B156" s="33" t="s">
        <v>87</v>
      </c>
      <c r="C156" s="34" t="s">
        <v>90</v>
      </c>
      <c r="D156" s="35" t="s">
        <v>91</v>
      </c>
      <c r="E156" s="36">
        <v>40000</v>
      </c>
      <c r="F156" s="36">
        <v>0</v>
      </c>
      <c r="G156" s="37">
        <v>0</v>
      </c>
      <c r="H156" s="37">
        <v>5870</v>
      </c>
      <c r="I156" s="36">
        <f>H156</f>
        <v>5870</v>
      </c>
      <c r="J156" s="36">
        <f>E156+F156-G156-I156</f>
        <v>34130</v>
      </c>
      <c r="K156" s="23"/>
      <c r="L156" s="22"/>
      <c r="M156" s="23"/>
    </row>
    <row r="157" spans="1:13" ht="22.5" customHeight="1" thickBot="1" x14ac:dyDescent="0.35">
      <c r="A157" s="49" t="s">
        <v>97</v>
      </c>
      <c r="B157" s="50"/>
      <c r="C157" s="50"/>
      <c r="D157" s="51"/>
      <c r="E157" s="41">
        <f t="shared" ref="E157:J157" si="40">SUM(E155:E156)</f>
        <v>340000</v>
      </c>
      <c r="F157" s="41">
        <f t="shared" si="40"/>
        <v>0</v>
      </c>
      <c r="G157" s="41">
        <f t="shared" si="40"/>
        <v>0</v>
      </c>
      <c r="H157" s="41">
        <f t="shared" si="40"/>
        <v>163870</v>
      </c>
      <c r="I157" s="41">
        <f t="shared" si="40"/>
        <v>167670</v>
      </c>
      <c r="J157" s="41">
        <f t="shared" si="40"/>
        <v>172330</v>
      </c>
      <c r="K157" s="23"/>
      <c r="L157" s="22"/>
      <c r="M157" s="23"/>
    </row>
    <row r="158" spans="1:13" ht="39.950000000000003" customHeight="1" thickBot="1" x14ac:dyDescent="0.35">
      <c r="A158" s="32" t="s">
        <v>164</v>
      </c>
      <c r="B158" s="33" t="s">
        <v>98</v>
      </c>
      <c r="C158" s="34" t="s">
        <v>99</v>
      </c>
      <c r="D158" s="35"/>
      <c r="E158" s="36">
        <v>20000</v>
      </c>
      <c r="F158" s="36">
        <v>0</v>
      </c>
      <c r="G158" s="37">
        <v>0</v>
      </c>
      <c r="H158" s="37">
        <v>0</v>
      </c>
      <c r="I158" s="36">
        <v>0</v>
      </c>
      <c r="J158" s="36">
        <f t="shared" ref="J158:J163" si="41">E158+F158-G158-I158</f>
        <v>20000</v>
      </c>
      <c r="K158" s="23"/>
      <c r="L158" s="22"/>
      <c r="M158" s="23"/>
    </row>
    <row r="159" spans="1:13" ht="39.950000000000003" customHeight="1" thickBot="1" x14ac:dyDescent="0.35">
      <c r="A159" s="32" t="s">
        <v>164</v>
      </c>
      <c r="B159" s="33" t="s">
        <v>98</v>
      </c>
      <c r="C159" s="34" t="s">
        <v>100</v>
      </c>
      <c r="D159" s="35"/>
      <c r="E159" s="36">
        <v>50000</v>
      </c>
      <c r="F159" s="36">
        <v>0</v>
      </c>
      <c r="G159" s="37">
        <v>0</v>
      </c>
      <c r="H159" s="37">
        <v>0</v>
      </c>
      <c r="I159" s="36">
        <v>0</v>
      </c>
      <c r="J159" s="36">
        <f t="shared" si="41"/>
        <v>50000</v>
      </c>
      <c r="K159" s="23"/>
      <c r="L159" s="22"/>
      <c r="M159" s="23"/>
    </row>
    <row r="160" spans="1:13" ht="39.950000000000003" customHeight="1" thickBot="1" x14ac:dyDescent="0.35">
      <c r="A160" s="32" t="s">
        <v>164</v>
      </c>
      <c r="B160" s="33" t="s">
        <v>98</v>
      </c>
      <c r="C160" s="34" t="s">
        <v>165</v>
      </c>
      <c r="D160" s="35"/>
      <c r="E160" s="36">
        <v>500000</v>
      </c>
      <c r="F160" s="36">
        <v>300000</v>
      </c>
      <c r="G160" s="37">
        <v>0</v>
      </c>
      <c r="H160" s="37">
        <f>197000</f>
        <v>197000</v>
      </c>
      <c r="I160" s="36">
        <f>H160+497382.56</f>
        <v>694382.56</v>
      </c>
      <c r="J160" s="36">
        <f t="shared" si="41"/>
        <v>105617.43999999994</v>
      </c>
      <c r="K160" s="23"/>
      <c r="L160" s="22"/>
      <c r="M160" s="23"/>
    </row>
    <row r="161" spans="1:13" ht="39.950000000000003" customHeight="1" thickBot="1" x14ac:dyDescent="0.35">
      <c r="A161" s="32" t="s">
        <v>164</v>
      </c>
      <c r="B161" s="33" t="s">
        <v>98</v>
      </c>
      <c r="C161" s="34" t="s">
        <v>166</v>
      </c>
      <c r="D161" s="35"/>
      <c r="E161" s="36">
        <v>5000</v>
      </c>
      <c r="F161" s="36">
        <v>50000</v>
      </c>
      <c r="G161" s="37">
        <v>0</v>
      </c>
      <c r="H161" s="37">
        <v>8240</v>
      </c>
      <c r="I161" s="36">
        <f>H161</f>
        <v>8240</v>
      </c>
      <c r="J161" s="36">
        <f t="shared" si="41"/>
        <v>46760</v>
      </c>
      <c r="K161" s="23"/>
      <c r="L161" s="22"/>
      <c r="M161" s="23"/>
    </row>
    <row r="162" spans="1:13" ht="39.950000000000003" customHeight="1" thickBot="1" x14ac:dyDescent="0.35">
      <c r="A162" s="32" t="s">
        <v>164</v>
      </c>
      <c r="B162" s="33" t="s">
        <v>98</v>
      </c>
      <c r="C162" s="34" t="s">
        <v>102</v>
      </c>
      <c r="D162" s="35"/>
      <c r="E162" s="36">
        <v>600000</v>
      </c>
      <c r="F162" s="36">
        <v>0</v>
      </c>
      <c r="G162" s="37">
        <v>0</v>
      </c>
      <c r="H162" s="37">
        <f>54000+10500+54000</f>
        <v>118500</v>
      </c>
      <c r="I162" s="36">
        <f>H162+38200</f>
        <v>156700</v>
      </c>
      <c r="J162" s="36">
        <f t="shared" si="41"/>
        <v>443300</v>
      </c>
      <c r="K162" s="23"/>
      <c r="L162" s="22"/>
      <c r="M162" s="23"/>
    </row>
    <row r="163" spans="1:13" ht="39.950000000000003" customHeight="1" thickBot="1" x14ac:dyDescent="0.35">
      <c r="A163" s="32" t="s">
        <v>164</v>
      </c>
      <c r="B163" s="33" t="s">
        <v>98</v>
      </c>
      <c r="C163" s="34" t="s">
        <v>104</v>
      </c>
      <c r="D163" s="35"/>
      <c r="E163" s="36">
        <v>20000</v>
      </c>
      <c r="F163" s="36">
        <v>0</v>
      </c>
      <c r="G163" s="37">
        <v>0</v>
      </c>
      <c r="H163" s="37">
        <v>0</v>
      </c>
      <c r="I163" s="36">
        <v>0</v>
      </c>
      <c r="J163" s="36">
        <f t="shared" si="41"/>
        <v>20000</v>
      </c>
      <c r="K163" s="23"/>
      <c r="L163" s="22"/>
      <c r="M163" s="23"/>
    </row>
    <row r="164" spans="1:13" ht="21.75" customHeight="1" thickBot="1" x14ac:dyDescent="0.35">
      <c r="A164" s="49" t="s">
        <v>105</v>
      </c>
      <c r="B164" s="50"/>
      <c r="C164" s="50"/>
      <c r="D164" s="51"/>
      <c r="E164" s="41">
        <f t="shared" ref="E164:J164" si="42">SUM(E158:E163)</f>
        <v>1195000</v>
      </c>
      <c r="F164" s="41">
        <f t="shared" si="42"/>
        <v>350000</v>
      </c>
      <c r="G164" s="41">
        <f t="shared" si="42"/>
        <v>0</v>
      </c>
      <c r="H164" s="41">
        <f t="shared" si="42"/>
        <v>323740</v>
      </c>
      <c r="I164" s="41">
        <f t="shared" si="42"/>
        <v>859322.56</v>
      </c>
      <c r="J164" s="41">
        <f t="shared" si="42"/>
        <v>685677.44</v>
      </c>
      <c r="K164" s="23"/>
      <c r="L164" s="22"/>
      <c r="M164" s="23"/>
    </row>
    <row r="165" spans="1:13" ht="54" customHeight="1" thickBot="1" x14ac:dyDescent="0.35">
      <c r="A165" s="32" t="s">
        <v>164</v>
      </c>
      <c r="B165" s="33" t="s">
        <v>112</v>
      </c>
      <c r="C165" s="34" t="s">
        <v>167</v>
      </c>
      <c r="D165" s="35" t="s">
        <v>168</v>
      </c>
      <c r="E165" s="36">
        <v>1998000</v>
      </c>
      <c r="F165" s="36">
        <v>0</v>
      </c>
      <c r="G165" s="37">
        <v>0</v>
      </c>
      <c r="H165" s="37">
        <v>0</v>
      </c>
      <c r="I165" s="36">
        <v>0</v>
      </c>
      <c r="J165" s="36">
        <f>E165+F165-G165-I165</f>
        <v>1998000</v>
      </c>
      <c r="K165" s="23"/>
      <c r="L165" s="22"/>
      <c r="M165" s="23"/>
    </row>
    <row r="166" spans="1:13" ht="39.950000000000003" customHeight="1" thickBot="1" x14ac:dyDescent="0.35">
      <c r="A166" s="32" t="s">
        <v>164</v>
      </c>
      <c r="B166" s="33" t="s">
        <v>112</v>
      </c>
      <c r="C166" s="34" t="s">
        <v>116</v>
      </c>
      <c r="D166" s="35" t="s">
        <v>169</v>
      </c>
      <c r="E166" s="36">
        <v>5000</v>
      </c>
      <c r="F166" s="36">
        <v>0</v>
      </c>
      <c r="G166" s="37">
        <v>0</v>
      </c>
      <c r="H166" s="37">
        <v>0</v>
      </c>
      <c r="I166" s="36">
        <v>0</v>
      </c>
      <c r="J166" s="36">
        <f>E166+F166-G166-I166</f>
        <v>5000</v>
      </c>
      <c r="K166" s="23"/>
      <c r="L166" s="22"/>
      <c r="M166" s="23"/>
    </row>
    <row r="167" spans="1:13" ht="39.950000000000003" customHeight="1" thickBot="1" x14ac:dyDescent="0.35">
      <c r="A167" s="32" t="s">
        <v>164</v>
      </c>
      <c r="B167" s="33" t="s">
        <v>112</v>
      </c>
      <c r="C167" s="34" t="s">
        <v>170</v>
      </c>
      <c r="D167" s="35" t="s">
        <v>171</v>
      </c>
      <c r="E167" s="36">
        <v>85000</v>
      </c>
      <c r="F167" s="36">
        <v>0</v>
      </c>
      <c r="G167" s="37">
        <v>0</v>
      </c>
      <c r="H167" s="37">
        <v>0</v>
      </c>
      <c r="I167" s="36">
        <v>0</v>
      </c>
      <c r="J167" s="36">
        <f>E167+F167-G167-I167</f>
        <v>85000</v>
      </c>
      <c r="K167" s="23"/>
      <c r="L167" s="22"/>
      <c r="M167" s="23"/>
    </row>
    <row r="168" spans="1:13" s="31" customFormat="1" ht="39.950000000000003" customHeight="1" thickBot="1" x14ac:dyDescent="0.35">
      <c r="A168" s="26" t="s">
        <v>54</v>
      </c>
      <c r="B168" s="26" t="s">
        <v>55</v>
      </c>
      <c r="C168" s="27" t="s">
        <v>56</v>
      </c>
      <c r="D168" s="28" t="s">
        <v>57</v>
      </c>
      <c r="E168" s="29" t="s">
        <v>58</v>
      </c>
      <c r="F168" s="29" t="s">
        <v>59</v>
      </c>
      <c r="G168" s="30" t="s">
        <v>60</v>
      </c>
      <c r="H168" s="30" t="s">
        <v>61</v>
      </c>
      <c r="I168" s="29" t="s">
        <v>62</v>
      </c>
      <c r="J168" s="29" t="s">
        <v>63</v>
      </c>
      <c r="K168" s="23"/>
      <c r="L168" s="22"/>
      <c r="M168" s="23"/>
    </row>
    <row r="169" spans="1:13" ht="39.950000000000003" customHeight="1" thickBot="1" x14ac:dyDescent="0.35">
      <c r="A169" s="32" t="s">
        <v>164</v>
      </c>
      <c r="B169" s="33" t="s">
        <v>112</v>
      </c>
      <c r="C169" s="34" t="s">
        <v>170</v>
      </c>
      <c r="D169" s="35" t="s">
        <v>172</v>
      </c>
      <c r="E169" s="36">
        <v>5000</v>
      </c>
      <c r="F169" s="36">
        <v>0</v>
      </c>
      <c r="G169" s="37">
        <v>0</v>
      </c>
      <c r="H169" s="37">
        <v>0</v>
      </c>
      <c r="I169" s="36">
        <v>0</v>
      </c>
      <c r="J169" s="36">
        <f>E169+F169-G169-I169</f>
        <v>5000</v>
      </c>
      <c r="K169" s="23"/>
      <c r="L169" s="22"/>
      <c r="M169" s="23"/>
    </row>
    <row r="170" spans="1:13" ht="47.25" customHeight="1" thickBot="1" x14ac:dyDescent="0.35">
      <c r="A170" s="32" t="s">
        <v>164</v>
      </c>
      <c r="B170" s="33" t="s">
        <v>112</v>
      </c>
      <c r="C170" s="34" t="s">
        <v>118</v>
      </c>
      <c r="D170" s="35" t="s">
        <v>173</v>
      </c>
      <c r="E170" s="36">
        <v>19000</v>
      </c>
      <c r="F170" s="36">
        <v>0</v>
      </c>
      <c r="G170" s="37">
        <v>0</v>
      </c>
      <c r="H170" s="37">
        <v>0</v>
      </c>
      <c r="I170" s="36">
        <v>0</v>
      </c>
      <c r="J170" s="36">
        <f>E170+F170-G170-I170</f>
        <v>19000</v>
      </c>
      <c r="K170" s="23"/>
      <c r="L170" s="22"/>
      <c r="M170" s="23"/>
    </row>
    <row r="171" spans="1:13" ht="39.950000000000003" customHeight="1" thickBot="1" x14ac:dyDescent="0.35">
      <c r="A171" s="32" t="s">
        <v>164</v>
      </c>
      <c r="B171" s="33" t="s">
        <v>112</v>
      </c>
      <c r="C171" s="34" t="s">
        <v>174</v>
      </c>
      <c r="D171" s="35" t="s">
        <v>175</v>
      </c>
      <c r="E171" s="36">
        <v>960000</v>
      </c>
      <c r="F171" s="36">
        <v>0</v>
      </c>
      <c r="G171" s="37">
        <v>0</v>
      </c>
      <c r="H171" s="37">
        <v>0</v>
      </c>
      <c r="I171" s="36">
        <v>0</v>
      </c>
      <c r="J171" s="36">
        <f>E171+F171-G171-I171</f>
        <v>960000</v>
      </c>
      <c r="K171" s="23"/>
      <c r="L171" s="22"/>
      <c r="M171" s="23"/>
    </row>
    <row r="172" spans="1:13" ht="39.950000000000003" customHeight="1" thickBot="1" x14ac:dyDescent="0.35">
      <c r="A172" s="32" t="s">
        <v>164</v>
      </c>
      <c r="B172" s="33" t="s">
        <v>112</v>
      </c>
      <c r="C172" s="34" t="s">
        <v>174</v>
      </c>
      <c r="D172" s="35" t="s">
        <v>176</v>
      </c>
      <c r="E172" s="36">
        <v>251600</v>
      </c>
      <c r="F172" s="36">
        <v>0</v>
      </c>
      <c r="G172" s="37">
        <v>0</v>
      </c>
      <c r="H172" s="37">
        <v>0</v>
      </c>
      <c r="I172" s="36">
        <v>0</v>
      </c>
      <c r="J172" s="36">
        <f>E172+F172-G172-I172</f>
        <v>251600</v>
      </c>
      <c r="K172" s="23"/>
      <c r="L172" s="22"/>
      <c r="M172" s="23"/>
    </row>
    <row r="173" spans="1:13" ht="39.950000000000003" customHeight="1" thickBot="1" x14ac:dyDescent="0.35">
      <c r="A173" s="32" t="s">
        <v>164</v>
      </c>
      <c r="B173" s="33" t="s">
        <v>112</v>
      </c>
      <c r="C173" s="34" t="s">
        <v>122</v>
      </c>
      <c r="D173" s="35"/>
      <c r="E173" s="36">
        <v>500000</v>
      </c>
      <c r="F173" s="36">
        <v>0</v>
      </c>
      <c r="G173" s="37">
        <v>0</v>
      </c>
      <c r="H173" s="37">
        <f>56000+8130</f>
        <v>64130</v>
      </c>
      <c r="I173" s="36">
        <f>H173+117255</f>
        <v>181385</v>
      </c>
      <c r="J173" s="36">
        <f>E173+F173-G173-I173</f>
        <v>318615</v>
      </c>
      <c r="K173" s="23"/>
      <c r="L173" s="22"/>
      <c r="M173" s="23"/>
    </row>
    <row r="174" spans="1:13" ht="20.25" customHeight="1" thickBot="1" x14ac:dyDescent="0.35">
      <c r="A174" s="49" t="s">
        <v>123</v>
      </c>
      <c r="B174" s="50"/>
      <c r="C174" s="50"/>
      <c r="D174" s="51"/>
      <c r="E174" s="41">
        <f t="shared" ref="E174:J174" si="43">SUM(E165:E173)</f>
        <v>3823600</v>
      </c>
      <c r="F174" s="41">
        <f t="shared" si="43"/>
        <v>0</v>
      </c>
      <c r="G174" s="41">
        <f t="shared" si="43"/>
        <v>0</v>
      </c>
      <c r="H174" s="41">
        <f t="shared" si="43"/>
        <v>64130</v>
      </c>
      <c r="I174" s="41">
        <f t="shared" si="43"/>
        <v>181385</v>
      </c>
      <c r="J174" s="41">
        <f t="shared" si="43"/>
        <v>3642215</v>
      </c>
      <c r="K174" s="23"/>
      <c r="L174" s="22"/>
      <c r="M174" s="23"/>
    </row>
    <row r="175" spans="1:13" ht="22.5" customHeight="1" thickBot="1" x14ac:dyDescent="0.35">
      <c r="A175" s="38" t="s">
        <v>177</v>
      </c>
      <c r="B175" s="39"/>
      <c r="C175" s="39"/>
      <c r="D175" s="40"/>
      <c r="E175" s="41">
        <f t="shared" ref="E175:J175" si="44">E146+E151+E157+E164+E174</f>
        <v>7162560</v>
      </c>
      <c r="F175" s="41">
        <f t="shared" si="44"/>
        <v>350000</v>
      </c>
      <c r="G175" s="41">
        <f t="shared" si="44"/>
        <v>0</v>
      </c>
      <c r="H175" s="41">
        <f t="shared" si="44"/>
        <v>682250.33000000007</v>
      </c>
      <c r="I175" s="41">
        <f t="shared" si="44"/>
        <v>1606221.56</v>
      </c>
      <c r="J175" s="41">
        <f t="shared" si="44"/>
        <v>5906338.4399999995</v>
      </c>
      <c r="K175" s="23"/>
      <c r="L175" s="22"/>
      <c r="M175" s="23"/>
    </row>
    <row r="176" spans="1:13" ht="55.5" customHeight="1" thickBot="1" x14ac:dyDescent="0.35">
      <c r="A176" s="32" t="s">
        <v>178</v>
      </c>
      <c r="B176" s="33" t="s">
        <v>124</v>
      </c>
      <c r="C176" s="34" t="s">
        <v>179</v>
      </c>
      <c r="D176" s="35" t="s">
        <v>180</v>
      </c>
      <c r="E176" s="36">
        <v>244000</v>
      </c>
      <c r="F176" s="36">
        <v>0</v>
      </c>
      <c r="G176" s="37">
        <v>0</v>
      </c>
      <c r="H176" s="37">
        <v>0</v>
      </c>
      <c r="I176" s="36">
        <v>0</v>
      </c>
      <c r="J176" s="36">
        <f>E176+F176-G176-I176</f>
        <v>244000</v>
      </c>
      <c r="K176" s="23"/>
      <c r="L176" s="22"/>
      <c r="M176" s="23"/>
    </row>
    <row r="177" spans="1:13" ht="24" customHeight="1" thickBot="1" x14ac:dyDescent="0.35">
      <c r="A177" s="38" t="s">
        <v>127</v>
      </c>
      <c r="B177" s="39"/>
      <c r="C177" s="39"/>
      <c r="D177" s="40"/>
      <c r="E177" s="41">
        <f t="shared" ref="E177:J177" si="45">E176</f>
        <v>244000</v>
      </c>
      <c r="F177" s="41">
        <f t="shared" si="45"/>
        <v>0</v>
      </c>
      <c r="G177" s="41">
        <f t="shared" si="45"/>
        <v>0</v>
      </c>
      <c r="H177" s="41">
        <f t="shared" si="45"/>
        <v>0</v>
      </c>
      <c r="I177" s="41">
        <f t="shared" si="45"/>
        <v>0</v>
      </c>
      <c r="J177" s="41">
        <f t="shared" si="45"/>
        <v>244000</v>
      </c>
      <c r="K177" s="23"/>
      <c r="L177" s="22"/>
      <c r="M177" s="23"/>
    </row>
    <row r="178" spans="1:13" ht="23.25" customHeight="1" thickBot="1" x14ac:dyDescent="0.35">
      <c r="A178" s="32" t="s">
        <v>178</v>
      </c>
      <c r="B178" s="33" t="s">
        <v>130</v>
      </c>
      <c r="C178" s="34" t="s">
        <v>156</v>
      </c>
      <c r="D178" s="35"/>
      <c r="E178" s="36">
        <v>398670</v>
      </c>
      <c r="F178" s="36">
        <v>0</v>
      </c>
      <c r="G178" s="37">
        <v>0</v>
      </c>
      <c r="H178" s="37">
        <v>0</v>
      </c>
      <c r="I178" s="36">
        <v>0</v>
      </c>
      <c r="J178" s="36">
        <f>E178+F178-G178-I178</f>
        <v>398670</v>
      </c>
      <c r="K178" s="23"/>
      <c r="L178" s="22"/>
      <c r="M178" s="23"/>
    </row>
    <row r="179" spans="1:13" ht="19.5" customHeight="1" thickBot="1" x14ac:dyDescent="0.35">
      <c r="A179" s="49" t="s">
        <v>132</v>
      </c>
      <c r="B179" s="50"/>
      <c r="C179" s="50"/>
      <c r="D179" s="51"/>
      <c r="E179" s="41">
        <f t="shared" ref="E179:J179" si="46">E178</f>
        <v>398670</v>
      </c>
      <c r="F179" s="41">
        <f t="shared" si="46"/>
        <v>0</v>
      </c>
      <c r="G179" s="41">
        <f t="shared" si="46"/>
        <v>0</v>
      </c>
      <c r="H179" s="41">
        <f t="shared" si="46"/>
        <v>0</v>
      </c>
      <c r="I179" s="41">
        <f t="shared" si="46"/>
        <v>0</v>
      </c>
      <c r="J179" s="41">
        <f t="shared" si="46"/>
        <v>398670</v>
      </c>
      <c r="K179" s="23"/>
      <c r="L179" s="22"/>
      <c r="M179" s="23"/>
    </row>
    <row r="180" spans="1:13" ht="21" customHeight="1" thickBot="1" x14ac:dyDescent="0.35">
      <c r="A180" s="49" t="s">
        <v>181</v>
      </c>
      <c r="B180" s="50"/>
      <c r="C180" s="50"/>
      <c r="D180" s="51"/>
      <c r="E180" s="41">
        <f t="shared" ref="E180:J180" si="47">E177+E179</f>
        <v>642670</v>
      </c>
      <c r="F180" s="41">
        <f t="shared" si="47"/>
        <v>0</v>
      </c>
      <c r="G180" s="41">
        <f t="shared" si="47"/>
        <v>0</v>
      </c>
      <c r="H180" s="41">
        <f t="shared" si="47"/>
        <v>0</v>
      </c>
      <c r="I180" s="41">
        <f t="shared" si="47"/>
        <v>0</v>
      </c>
      <c r="J180" s="41">
        <f t="shared" si="47"/>
        <v>642670</v>
      </c>
      <c r="K180" s="23"/>
      <c r="L180" s="22"/>
      <c r="M180" s="23"/>
    </row>
    <row r="181" spans="1:13" ht="39.950000000000003" customHeight="1" thickBot="1" x14ac:dyDescent="0.35">
      <c r="A181" s="32" t="s">
        <v>182</v>
      </c>
      <c r="B181" s="33" t="s">
        <v>87</v>
      </c>
      <c r="C181" s="34" t="s">
        <v>90</v>
      </c>
      <c r="D181" s="35" t="s">
        <v>183</v>
      </c>
      <c r="E181" s="36">
        <v>40000</v>
      </c>
      <c r="F181" s="36">
        <v>0</v>
      </c>
      <c r="G181" s="37">
        <v>0</v>
      </c>
      <c r="H181" s="37">
        <v>0</v>
      </c>
      <c r="I181" s="36">
        <v>0</v>
      </c>
      <c r="J181" s="36">
        <f>E181+F181-G181-I181</f>
        <v>40000</v>
      </c>
      <c r="K181" s="23"/>
      <c r="L181" s="22"/>
      <c r="M181" s="23"/>
    </row>
    <row r="182" spans="1:13" ht="67.5" customHeight="1" thickBot="1" x14ac:dyDescent="0.35">
      <c r="A182" s="32" t="s">
        <v>182</v>
      </c>
      <c r="B182" s="33" t="s">
        <v>87</v>
      </c>
      <c r="C182" s="34" t="s">
        <v>90</v>
      </c>
      <c r="D182" s="35" t="s">
        <v>184</v>
      </c>
      <c r="E182" s="36">
        <v>20000</v>
      </c>
      <c r="F182" s="36">
        <v>0</v>
      </c>
      <c r="G182" s="37">
        <v>0</v>
      </c>
      <c r="H182" s="37">
        <v>0</v>
      </c>
      <c r="I182" s="36">
        <v>0</v>
      </c>
      <c r="J182" s="36">
        <f>E182+F182-G182-I182</f>
        <v>20000</v>
      </c>
      <c r="K182" s="23"/>
      <c r="L182" s="22"/>
      <c r="M182" s="23"/>
    </row>
    <row r="183" spans="1:13" s="31" customFormat="1" ht="39.950000000000003" customHeight="1" thickBot="1" x14ac:dyDescent="0.35">
      <c r="A183" s="26" t="s">
        <v>54</v>
      </c>
      <c r="B183" s="26" t="s">
        <v>55</v>
      </c>
      <c r="C183" s="27" t="s">
        <v>56</v>
      </c>
      <c r="D183" s="28" t="s">
        <v>57</v>
      </c>
      <c r="E183" s="29" t="s">
        <v>58</v>
      </c>
      <c r="F183" s="29" t="s">
        <v>59</v>
      </c>
      <c r="G183" s="30" t="s">
        <v>60</v>
      </c>
      <c r="H183" s="30" t="s">
        <v>61</v>
      </c>
      <c r="I183" s="29" t="s">
        <v>62</v>
      </c>
      <c r="J183" s="29" t="s">
        <v>63</v>
      </c>
      <c r="K183" s="23"/>
      <c r="L183" s="22"/>
      <c r="M183" s="23"/>
    </row>
    <row r="184" spans="1:13" ht="58.5" customHeight="1" thickBot="1" x14ac:dyDescent="0.35">
      <c r="A184" s="32" t="s">
        <v>182</v>
      </c>
      <c r="B184" s="33" t="s">
        <v>87</v>
      </c>
      <c r="C184" s="34" t="s">
        <v>90</v>
      </c>
      <c r="D184" s="35" t="s">
        <v>185</v>
      </c>
      <c r="E184" s="36">
        <v>50000</v>
      </c>
      <c r="F184" s="36">
        <v>0</v>
      </c>
      <c r="G184" s="37">
        <v>0</v>
      </c>
      <c r="H184" s="37">
        <v>0</v>
      </c>
      <c r="I184" s="36">
        <v>0</v>
      </c>
      <c r="J184" s="36">
        <f>E184+F184-G184-I184</f>
        <v>50000</v>
      </c>
      <c r="K184" s="23"/>
      <c r="L184" s="22"/>
      <c r="M184" s="23"/>
    </row>
    <row r="185" spans="1:13" ht="66.75" customHeight="1" thickBot="1" x14ac:dyDescent="0.35">
      <c r="A185" s="32" t="s">
        <v>182</v>
      </c>
      <c r="B185" s="33" t="s">
        <v>87</v>
      </c>
      <c r="C185" s="34" t="s">
        <v>90</v>
      </c>
      <c r="D185" s="35" t="s">
        <v>186</v>
      </c>
      <c r="E185" s="36">
        <v>30000</v>
      </c>
      <c r="F185" s="36">
        <v>0</v>
      </c>
      <c r="G185" s="37">
        <v>0</v>
      </c>
      <c r="H185" s="37">
        <v>0</v>
      </c>
      <c r="I185" s="36">
        <v>0</v>
      </c>
      <c r="J185" s="36">
        <f>E185+F185-G185-I185</f>
        <v>30000</v>
      </c>
      <c r="K185" s="23"/>
      <c r="L185" s="22"/>
      <c r="M185" s="23"/>
    </row>
    <row r="186" spans="1:13" ht="55.5" customHeight="1" thickBot="1" x14ac:dyDescent="0.35">
      <c r="A186" s="32" t="s">
        <v>182</v>
      </c>
      <c r="B186" s="33" t="s">
        <v>87</v>
      </c>
      <c r="C186" s="34" t="s">
        <v>90</v>
      </c>
      <c r="D186" s="35" t="s">
        <v>187</v>
      </c>
      <c r="E186" s="36">
        <v>30000</v>
      </c>
      <c r="F186" s="36">
        <v>0</v>
      </c>
      <c r="G186" s="37">
        <v>0</v>
      </c>
      <c r="H186" s="37">
        <v>0</v>
      </c>
      <c r="I186" s="36">
        <v>0</v>
      </c>
      <c r="J186" s="36">
        <f>E186+F186-G186-I186</f>
        <v>30000</v>
      </c>
      <c r="K186" s="23"/>
      <c r="L186" s="22"/>
      <c r="M186" s="23"/>
    </row>
    <row r="187" spans="1:13" ht="55.5" customHeight="1" thickBot="1" x14ac:dyDescent="0.35">
      <c r="A187" s="32" t="s">
        <v>182</v>
      </c>
      <c r="B187" s="33" t="s">
        <v>87</v>
      </c>
      <c r="C187" s="34" t="s">
        <v>90</v>
      </c>
      <c r="D187" s="35" t="s">
        <v>188</v>
      </c>
      <c r="E187" s="36">
        <v>30000</v>
      </c>
      <c r="F187" s="36">
        <v>0</v>
      </c>
      <c r="G187" s="37">
        <v>0</v>
      </c>
      <c r="H187" s="37">
        <v>0</v>
      </c>
      <c r="I187" s="36">
        <v>0</v>
      </c>
      <c r="J187" s="36">
        <f>E187+F187-G187-I187</f>
        <v>30000</v>
      </c>
      <c r="K187" s="23"/>
      <c r="L187" s="22"/>
      <c r="M187" s="23"/>
    </row>
    <row r="188" spans="1:13" ht="22.5" customHeight="1" thickBot="1" x14ac:dyDescent="0.35">
      <c r="A188" s="49" t="s">
        <v>97</v>
      </c>
      <c r="B188" s="50"/>
      <c r="C188" s="50"/>
      <c r="D188" s="51"/>
      <c r="E188" s="41">
        <f t="shared" ref="E188:J188" si="48">SUM(E181:E187)</f>
        <v>200000</v>
      </c>
      <c r="F188" s="41">
        <f t="shared" si="48"/>
        <v>0</v>
      </c>
      <c r="G188" s="41">
        <f t="shared" si="48"/>
        <v>0</v>
      </c>
      <c r="H188" s="41">
        <f t="shared" si="48"/>
        <v>0</v>
      </c>
      <c r="I188" s="41">
        <f t="shared" si="48"/>
        <v>0</v>
      </c>
      <c r="J188" s="41">
        <f t="shared" si="48"/>
        <v>200000</v>
      </c>
      <c r="K188" s="23"/>
      <c r="L188" s="22"/>
      <c r="M188" s="23"/>
    </row>
    <row r="189" spans="1:13" ht="21.75" customHeight="1" thickBot="1" x14ac:dyDescent="0.35">
      <c r="A189" s="38" t="s">
        <v>189</v>
      </c>
      <c r="B189" s="39"/>
      <c r="C189" s="39"/>
      <c r="D189" s="40"/>
      <c r="E189" s="41">
        <f t="shared" ref="E189:J189" si="49">E188</f>
        <v>200000</v>
      </c>
      <c r="F189" s="41">
        <f t="shared" si="49"/>
        <v>0</v>
      </c>
      <c r="G189" s="41">
        <f t="shared" si="49"/>
        <v>0</v>
      </c>
      <c r="H189" s="41">
        <f t="shared" si="49"/>
        <v>0</v>
      </c>
      <c r="I189" s="41">
        <f t="shared" si="49"/>
        <v>0</v>
      </c>
      <c r="J189" s="41">
        <f t="shared" si="49"/>
        <v>200000</v>
      </c>
      <c r="K189" s="23"/>
      <c r="L189" s="22"/>
      <c r="M189" s="23"/>
    </row>
    <row r="190" spans="1:13" ht="39.950000000000003" customHeight="1" thickBot="1" x14ac:dyDescent="0.35">
      <c r="A190" s="32" t="s">
        <v>190</v>
      </c>
      <c r="B190" s="33" t="s">
        <v>87</v>
      </c>
      <c r="C190" s="34" t="s">
        <v>90</v>
      </c>
      <c r="D190" s="35" t="s">
        <v>191</v>
      </c>
      <c r="E190" s="36">
        <v>120000</v>
      </c>
      <c r="F190" s="36">
        <v>0</v>
      </c>
      <c r="G190" s="37">
        <v>0</v>
      </c>
      <c r="H190" s="37">
        <v>0</v>
      </c>
      <c r="I190" s="36">
        <v>0</v>
      </c>
      <c r="J190" s="36">
        <f>E190+F190-G190-I190</f>
        <v>120000</v>
      </c>
      <c r="K190" s="23"/>
      <c r="L190" s="22"/>
      <c r="M190" s="23"/>
    </row>
    <row r="191" spans="1:13" ht="52.5" customHeight="1" thickBot="1" x14ac:dyDescent="0.35">
      <c r="A191" s="32" t="s">
        <v>190</v>
      </c>
      <c r="B191" s="33" t="s">
        <v>87</v>
      </c>
      <c r="C191" s="34" t="s">
        <v>90</v>
      </c>
      <c r="D191" s="35" t="s">
        <v>192</v>
      </c>
      <c r="E191" s="36">
        <v>40000</v>
      </c>
      <c r="F191" s="36">
        <v>0</v>
      </c>
      <c r="G191" s="37">
        <v>0</v>
      </c>
      <c r="H191" s="37">
        <v>0</v>
      </c>
      <c r="I191" s="36">
        <v>0</v>
      </c>
      <c r="J191" s="36">
        <f>E191+F191-G191-I191</f>
        <v>40000</v>
      </c>
      <c r="K191" s="23"/>
      <c r="L191" s="22"/>
      <c r="M191" s="23"/>
    </row>
    <row r="192" spans="1:13" ht="53.25" customHeight="1" thickBot="1" x14ac:dyDescent="0.35">
      <c r="A192" s="32" t="s">
        <v>190</v>
      </c>
      <c r="B192" s="33" t="s">
        <v>87</v>
      </c>
      <c r="C192" s="34" t="s">
        <v>90</v>
      </c>
      <c r="D192" s="35" t="s">
        <v>193</v>
      </c>
      <c r="E192" s="36">
        <v>470000</v>
      </c>
      <c r="F192" s="36">
        <v>0</v>
      </c>
      <c r="G192" s="37">
        <v>0</v>
      </c>
      <c r="H192" s="37">
        <v>0</v>
      </c>
      <c r="I192" s="36">
        <v>0</v>
      </c>
      <c r="J192" s="36">
        <f>E192+F192-G192-I192</f>
        <v>470000</v>
      </c>
      <c r="K192" s="23"/>
      <c r="L192" s="22"/>
      <c r="M192" s="23"/>
    </row>
    <row r="193" spans="1:13" ht="56.25" customHeight="1" thickBot="1" x14ac:dyDescent="0.35">
      <c r="A193" s="32" t="s">
        <v>190</v>
      </c>
      <c r="B193" s="33" t="s">
        <v>87</v>
      </c>
      <c r="C193" s="34" t="s">
        <v>90</v>
      </c>
      <c r="D193" s="35" t="s">
        <v>194</v>
      </c>
      <c r="E193" s="36">
        <v>90000</v>
      </c>
      <c r="F193" s="36">
        <v>0</v>
      </c>
      <c r="G193" s="37">
        <v>0</v>
      </c>
      <c r="H193" s="37">
        <v>0</v>
      </c>
      <c r="I193" s="36">
        <v>0</v>
      </c>
      <c r="J193" s="36">
        <f>E193+F193-G193-I193</f>
        <v>90000</v>
      </c>
      <c r="K193" s="23"/>
      <c r="L193" s="22"/>
      <c r="M193" s="23"/>
    </row>
    <row r="194" spans="1:13" s="31" customFormat="1" ht="39.950000000000003" customHeight="1" thickBot="1" x14ac:dyDescent="0.35">
      <c r="A194" s="26" t="s">
        <v>54</v>
      </c>
      <c r="B194" s="26" t="s">
        <v>55</v>
      </c>
      <c r="C194" s="27" t="s">
        <v>56</v>
      </c>
      <c r="D194" s="28" t="s">
        <v>57</v>
      </c>
      <c r="E194" s="29" t="s">
        <v>58</v>
      </c>
      <c r="F194" s="29" t="s">
        <v>59</v>
      </c>
      <c r="G194" s="30" t="s">
        <v>60</v>
      </c>
      <c r="H194" s="30" t="s">
        <v>61</v>
      </c>
      <c r="I194" s="29" t="s">
        <v>62</v>
      </c>
      <c r="J194" s="29" t="s">
        <v>63</v>
      </c>
      <c r="K194" s="23"/>
      <c r="L194" s="22"/>
      <c r="M194" s="23"/>
    </row>
    <row r="195" spans="1:13" ht="54" customHeight="1" thickBot="1" x14ac:dyDescent="0.35">
      <c r="A195" s="32" t="s">
        <v>190</v>
      </c>
      <c r="B195" s="33" t="s">
        <v>87</v>
      </c>
      <c r="C195" s="34" t="s">
        <v>90</v>
      </c>
      <c r="D195" s="35" t="s">
        <v>195</v>
      </c>
      <c r="E195" s="36">
        <v>60000</v>
      </c>
      <c r="F195" s="36">
        <v>0</v>
      </c>
      <c r="G195" s="37">
        <v>0</v>
      </c>
      <c r="H195" s="37">
        <v>0</v>
      </c>
      <c r="I195" s="36">
        <v>0</v>
      </c>
      <c r="J195" s="36">
        <f>E195+F195-G195-I195</f>
        <v>60000</v>
      </c>
      <c r="K195" s="23"/>
      <c r="L195" s="22"/>
      <c r="M195" s="23"/>
    </row>
    <row r="196" spans="1:13" ht="51.75" customHeight="1" thickBot="1" x14ac:dyDescent="0.35">
      <c r="A196" s="32" t="s">
        <v>190</v>
      </c>
      <c r="B196" s="33" t="s">
        <v>87</v>
      </c>
      <c r="C196" s="34" t="s">
        <v>90</v>
      </c>
      <c r="D196" s="35" t="s">
        <v>196</v>
      </c>
      <c r="E196" s="36">
        <v>60000</v>
      </c>
      <c r="F196" s="36">
        <v>0</v>
      </c>
      <c r="G196" s="37">
        <v>0</v>
      </c>
      <c r="H196" s="37">
        <v>0</v>
      </c>
      <c r="I196" s="36">
        <v>0</v>
      </c>
      <c r="J196" s="36">
        <f>E196+F196-G196-I196</f>
        <v>60000</v>
      </c>
      <c r="K196" s="23"/>
      <c r="L196" s="22"/>
      <c r="M196" s="23"/>
    </row>
    <row r="197" spans="1:13" ht="22.5" customHeight="1" thickBot="1" x14ac:dyDescent="0.35">
      <c r="A197" s="49" t="s">
        <v>97</v>
      </c>
      <c r="B197" s="50"/>
      <c r="C197" s="50"/>
      <c r="D197" s="51"/>
      <c r="E197" s="41">
        <f t="shared" ref="E197:J197" si="50">SUM(E190:E196)</f>
        <v>840000</v>
      </c>
      <c r="F197" s="41">
        <f t="shared" si="50"/>
        <v>0</v>
      </c>
      <c r="G197" s="41">
        <f t="shared" si="50"/>
        <v>0</v>
      </c>
      <c r="H197" s="41">
        <f t="shared" si="50"/>
        <v>0</v>
      </c>
      <c r="I197" s="41">
        <f t="shared" si="50"/>
        <v>0</v>
      </c>
      <c r="J197" s="41">
        <f t="shared" si="50"/>
        <v>840000</v>
      </c>
      <c r="K197" s="23"/>
      <c r="L197" s="22"/>
      <c r="M197" s="23"/>
    </row>
    <row r="198" spans="1:13" ht="21" customHeight="1" thickBot="1" x14ac:dyDescent="0.35">
      <c r="A198" s="32" t="s">
        <v>190</v>
      </c>
      <c r="B198" s="33" t="s">
        <v>130</v>
      </c>
      <c r="C198" s="34" t="s">
        <v>156</v>
      </c>
      <c r="D198" s="35"/>
      <c r="E198" s="36">
        <v>95000</v>
      </c>
      <c r="F198" s="36">
        <v>0</v>
      </c>
      <c r="G198" s="37">
        <v>0</v>
      </c>
      <c r="H198" s="37">
        <v>0</v>
      </c>
      <c r="I198" s="36">
        <v>0</v>
      </c>
      <c r="J198" s="36">
        <f>E198+F198-G198-I198</f>
        <v>95000</v>
      </c>
      <c r="K198" s="23"/>
      <c r="L198" s="22"/>
      <c r="M198" s="23"/>
    </row>
    <row r="199" spans="1:13" ht="39.950000000000003" customHeight="1" thickBot="1" x14ac:dyDescent="0.35">
      <c r="A199" s="32" t="s">
        <v>190</v>
      </c>
      <c r="B199" s="33" t="s">
        <v>130</v>
      </c>
      <c r="C199" s="34" t="s">
        <v>162</v>
      </c>
      <c r="D199" s="35"/>
      <c r="E199" s="36">
        <v>305000</v>
      </c>
      <c r="F199" s="36">
        <v>0</v>
      </c>
      <c r="G199" s="37">
        <v>0</v>
      </c>
      <c r="H199" s="37">
        <v>0</v>
      </c>
      <c r="I199" s="36">
        <v>0</v>
      </c>
      <c r="J199" s="36">
        <f>E199+F199-G199-I199</f>
        <v>305000</v>
      </c>
      <c r="K199" s="23"/>
      <c r="L199" s="22"/>
      <c r="M199" s="23"/>
    </row>
    <row r="200" spans="1:13" ht="19.5" customHeight="1" thickBot="1" x14ac:dyDescent="0.35">
      <c r="A200" s="49" t="s">
        <v>132</v>
      </c>
      <c r="B200" s="50"/>
      <c r="C200" s="50"/>
      <c r="D200" s="51"/>
      <c r="E200" s="41">
        <f t="shared" ref="E200:J200" si="51">SUM(E198:E199)</f>
        <v>400000</v>
      </c>
      <c r="F200" s="41">
        <f t="shared" si="51"/>
        <v>0</v>
      </c>
      <c r="G200" s="41">
        <f t="shared" si="51"/>
        <v>0</v>
      </c>
      <c r="H200" s="41">
        <f t="shared" si="51"/>
        <v>0</v>
      </c>
      <c r="I200" s="41">
        <f t="shared" si="51"/>
        <v>0</v>
      </c>
      <c r="J200" s="41">
        <f t="shared" si="51"/>
        <v>400000</v>
      </c>
      <c r="K200" s="23"/>
      <c r="L200" s="22"/>
      <c r="M200" s="23"/>
    </row>
    <row r="201" spans="1:13" ht="21" customHeight="1" thickBot="1" x14ac:dyDescent="0.35">
      <c r="A201" s="38" t="s">
        <v>197</v>
      </c>
      <c r="B201" s="39"/>
      <c r="C201" s="39"/>
      <c r="D201" s="40"/>
      <c r="E201" s="41">
        <f t="shared" ref="E201:J201" si="52">E197+E200</f>
        <v>1240000</v>
      </c>
      <c r="F201" s="41">
        <f t="shared" si="52"/>
        <v>0</v>
      </c>
      <c r="G201" s="41">
        <f t="shared" si="52"/>
        <v>0</v>
      </c>
      <c r="H201" s="41">
        <f t="shared" si="52"/>
        <v>0</v>
      </c>
      <c r="I201" s="41">
        <f t="shared" si="52"/>
        <v>0</v>
      </c>
      <c r="J201" s="41">
        <f t="shared" si="52"/>
        <v>1240000</v>
      </c>
      <c r="K201" s="23"/>
      <c r="L201" s="22"/>
      <c r="M201" s="23"/>
    </row>
    <row r="202" spans="1:13" ht="39.950000000000003" customHeight="1" thickBot="1" x14ac:dyDescent="0.35">
      <c r="A202" s="32" t="s">
        <v>198</v>
      </c>
      <c r="B202" s="33" t="s">
        <v>87</v>
      </c>
      <c r="C202" s="34" t="s">
        <v>90</v>
      </c>
      <c r="D202" s="35" t="s">
        <v>199</v>
      </c>
      <c r="E202" s="36">
        <v>90000</v>
      </c>
      <c r="F202" s="36">
        <v>0</v>
      </c>
      <c r="G202" s="37">
        <v>0</v>
      </c>
      <c r="H202" s="37">
        <v>0</v>
      </c>
      <c r="I202" s="36">
        <f>H202+90000</f>
        <v>90000</v>
      </c>
      <c r="J202" s="36">
        <f>E202+F202-G202-I202</f>
        <v>0</v>
      </c>
      <c r="K202" s="23"/>
      <c r="L202" s="22"/>
      <c r="M202" s="23"/>
    </row>
    <row r="203" spans="1:13" ht="39.950000000000003" customHeight="1" thickBot="1" x14ac:dyDescent="0.35">
      <c r="A203" s="32" t="s">
        <v>198</v>
      </c>
      <c r="B203" s="33" t="s">
        <v>87</v>
      </c>
      <c r="C203" s="34" t="s">
        <v>90</v>
      </c>
      <c r="D203" s="35" t="s">
        <v>200</v>
      </c>
      <c r="E203" s="36">
        <v>350000</v>
      </c>
      <c r="F203" s="36">
        <v>15000</v>
      </c>
      <c r="G203" s="37">
        <v>0</v>
      </c>
      <c r="H203" s="37">
        <v>118700</v>
      </c>
      <c r="I203" s="36">
        <f>H203+244400</f>
        <v>363100</v>
      </c>
      <c r="J203" s="36">
        <f>E203+F203-G203-I203</f>
        <v>1900</v>
      </c>
      <c r="K203" s="23"/>
      <c r="L203" s="22"/>
      <c r="M203" s="23"/>
    </row>
    <row r="204" spans="1:13" ht="53.25" customHeight="1" thickBot="1" x14ac:dyDescent="0.35">
      <c r="A204" s="32" t="s">
        <v>198</v>
      </c>
      <c r="B204" s="33" t="s">
        <v>87</v>
      </c>
      <c r="C204" s="34" t="s">
        <v>90</v>
      </c>
      <c r="D204" s="35" t="s">
        <v>201</v>
      </c>
      <c r="E204" s="36">
        <v>250000</v>
      </c>
      <c r="F204" s="36">
        <v>0</v>
      </c>
      <c r="G204" s="37">
        <v>0</v>
      </c>
      <c r="H204" s="37">
        <v>0</v>
      </c>
      <c r="I204" s="36">
        <v>0</v>
      </c>
      <c r="J204" s="36">
        <f>E204+F204-G204-I204</f>
        <v>250000</v>
      </c>
      <c r="K204" s="23"/>
      <c r="L204" s="22"/>
      <c r="M204" s="23"/>
    </row>
    <row r="205" spans="1:13" ht="39.950000000000003" customHeight="1" thickBot="1" x14ac:dyDescent="0.35">
      <c r="A205" s="32" t="s">
        <v>198</v>
      </c>
      <c r="B205" s="33" t="s">
        <v>87</v>
      </c>
      <c r="C205" s="34" t="s">
        <v>90</v>
      </c>
      <c r="D205" s="35" t="s">
        <v>202</v>
      </c>
      <c r="E205" s="36">
        <v>20000</v>
      </c>
      <c r="F205" s="36">
        <v>130000</v>
      </c>
      <c r="G205" s="37">
        <v>0</v>
      </c>
      <c r="H205" s="37">
        <v>82650</v>
      </c>
      <c r="I205" s="36">
        <f>H205</f>
        <v>82650</v>
      </c>
      <c r="J205" s="36">
        <f>E205+F205-G205-I205</f>
        <v>67350</v>
      </c>
      <c r="K205" s="23"/>
      <c r="L205" s="22"/>
      <c r="M205" s="23"/>
    </row>
    <row r="206" spans="1:13" ht="39.950000000000003" customHeight="1" thickBot="1" x14ac:dyDescent="0.35">
      <c r="A206" s="32" t="s">
        <v>198</v>
      </c>
      <c r="B206" s="33" t="s">
        <v>87</v>
      </c>
      <c r="C206" s="34" t="s">
        <v>90</v>
      </c>
      <c r="D206" s="35" t="s">
        <v>203</v>
      </c>
      <c r="E206" s="36">
        <v>5000</v>
      </c>
      <c r="F206" s="36">
        <v>0</v>
      </c>
      <c r="G206" s="37">
        <v>0</v>
      </c>
      <c r="H206" s="37">
        <v>0</v>
      </c>
      <c r="I206" s="36">
        <v>0</v>
      </c>
      <c r="J206" s="36">
        <f>E206+F206-G206-I206</f>
        <v>5000</v>
      </c>
      <c r="K206" s="23"/>
      <c r="L206" s="22"/>
      <c r="M206" s="23"/>
    </row>
    <row r="207" spans="1:13" ht="20.25" customHeight="1" thickBot="1" x14ac:dyDescent="0.35">
      <c r="A207" s="49" t="s">
        <v>97</v>
      </c>
      <c r="B207" s="50"/>
      <c r="C207" s="50"/>
      <c r="D207" s="51"/>
      <c r="E207" s="41">
        <f t="shared" ref="E207:J207" si="53">SUM(E202:E206)</f>
        <v>715000</v>
      </c>
      <c r="F207" s="41">
        <f t="shared" si="53"/>
        <v>145000</v>
      </c>
      <c r="G207" s="41">
        <f t="shared" si="53"/>
        <v>0</v>
      </c>
      <c r="H207" s="41">
        <f t="shared" si="53"/>
        <v>201350</v>
      </c>
      <c r="I207" s="41">
        <f t="shared" si="53"/>
        <v>535750</v>
      </c>
      <c r="J207" s="41">
        <f t="shared" si="53"/>
        <v>324250</v>
      </c>
      <c r="K207" s="23"/>
      <c r="L207" s="22"/>
      <c r="M207" s="23"/>
    </row>
    <row r="208" spans="1:13" ht="20.25" customHeight="1" thickBot="1" x14ac:dyDescent="0.35">
      <c r="A208" s="43"/>
      <c r="B208" s="43"/>
      <c r="C208" s="43"/>
      <c r="D208" s="43"/>
      <c r="E208" s="47"/>
      <c r="F208" s="47"/>
      <c r="G208" s="47"/>
      <c r="H208" s="47"/>
      <c r="I208" s="47"/>
      <c r="J208" s="47"/>
      <c r="K208" s="23"/>
      <c r="L208" s="22"/>
      <c r="M208" s="23"/>
    </row>
    <row r="209" spans="1:13" s="31" customFormat="1" ht="39.950000000000003" customHeight="1" thickBot="1" x14ac:dyDescent="0.35">
      <c r="A209" s="26" t="s">
        <v>54</v>
      </c>
      <c r="B209" s="26" t="s">
        <v>55</v>
      </c>
      <c r="C209" s="27" t="s">
        <v>56</v>
      </c>
      <c r="D209" s="28" t="s">
        <v>57</v>
      </c>
      <c r="E209" s="29" t="s">
        <v>58</v>
      </c>
      <c r="F209" s="29" t="s">
        <v>59</v>
      </c>
      <c r="G209" s="30" t="s">
        <v>60</v>
      </c>
      <c r="H209" s="30" t="s">
        <v>61</v>
      </c>
      <c r="I209" s="29" t="s">
        <v>62</v>
      </c>
      <c r="J209" s="29" t="s">
        <v>63</v>
      </c>
      <c r="K209" s="23"/>
      <c r="L209" s="22"/>
      <c r="M209" s="23"/>
    </row>
    <row r="210" spans="1:13" ht="39.950000000000003" customHeight="1" thickBot="1" x14ac:dyDescent="0.35">
      <c r="A210" s="32" t="s">
        <v>198</v>
      </c>
      <c r="B210" s="33" t="s">
        <v>130</v>
      </c>
      <c r="C210" s="34" t="s">
        <v>156</v>
      </c>
      <c r="D210" s="35"/>
      <c r="E210" s="36">
        <v>96000</v>
      </c>
      <c r="F210" s="36">
        <v>0</v>
      </c>
      <c r="G210" s="37">
        <v>0</v>
      </c>
      <c r="H210" s="37">
        <v>0</v>
      </c>
      <c r="I210" s="36">
        <f>H210+41000+12000</f>
        <v>53000</v>
      </c>
      <c r="J210" s="36">
        <f>E210+F210-G210-I210</f>
        <v>43000</v>
      </c>
      <c r="K210" s="23"/>
      <c r="L210" s="22"/>
      <c r="M210" s="23"/>
    </row>
    <row r="211" spans="1:13" ht="21" customHeight="1" thickBot="1" x14ac:dyDescent="0.35">
      <c r="A211" s="49" t="s">
        <v>132</v>
      </c>
      <c r="B211" s="50"/>
      <c r="C211" s="50"/>
      <c r="D211" s="51"/>
      <c r="E211" s="41">
        <f t="shared" ref="E211:J211" si="54">E210</f>
        <v>96000</v>
      </c>
      <c r="F211" s="41">
        <f t="shared" si="54"/>
        <v>0</v>
      </c>
      <c r="G211" s="41">
        <f t="shared" si="54"/>
        <v>0</v>
      </c>
      <c r="H211" s="41">
        <f t="shared" si="54"/>
        <v>0</v>
      </c>
      <c r="I211" s="41">
        <f t="shared" si="54"/>
        <v>53000</v>
      </c>
      <c r="J211" s="41">
        <f t="shared" si="54"/>
        <v>43000</v>
      </c>
      <c r="K211" s="23"/>
      <c r="L211" s="22"/>
      <c r="M211" s="23"/>
    </row>
    <row r="212" spans="1:13" ht="24" customHeight="1" thickBot="1" x14ac:dyDescent="0.35">
      <c r="A212" s="38" t="s">
        <v>204</v>
      </c>
      <c r="B212" s="39"/>
      <c r="C212" s="39"/>
      <c r="D212" s="40"/>
      <c r="E212" s="41">
        <f t="shared" ref="E212:J212" si="55">E207+E211</f>
        <v>811000</v>
      </c>
      <c r="F212" s="41">
        <f t="shared" si="55"/>
        <v>145000</v>
      </c>
      <c r="G212" s="41">
        <f t="shared" si="55"/>
        <v>0</v>
      </c>
      <c r="H212" s="41">
        <f t="shared" si="55"/>
        <v>201350</v>
      </c>
      <c r="I212" s="41">
        <f t="shared" si="55"/>
        <v>588750</v>
      </c>
      <c r="J212" s="41">
        <f t="shared" si="55"/>
        <v>367250</v>
      </c>
      <c r="K212" s="23"/>
      <c r="L212" s="22"/>
      <c r="M212" s="23"/>
    </row>
    <row r="213" spans="1:13" ht="39.950000000000003" customHeight="1" thickBot="1" x14ac:dyDescent="0.35">
      <c r="A213" s="32" t="s">
        <v>205</v>
      </c>
      <c r="B213" s="33" t="s">
        <v>87</v>
      </c>
      <c r="C213" s="34" t="s">
        <v>90</v>
      </c>
      <c r="D213" s="35" t="s">
        <v>206</v>
      </c>
      <c r="E213" s="36">
        <v>20000</v>
      </c>
      <c r="F213" s="36">
        <v>0</v>
      </c>
      <c r="G213" s="37">
        <v>0</v>
      </c>
      <c r="H213" s="37">
        <v>0</v>
      </c>
      <c r="I213" s="36">
        <v>0</v>
      </c>
      <c r="J213" s="36">
        <f>E213+F213-G213-I213</f>
        <v>20000</v>
      </c>
      <c r="K213" s="23"/>
      <c r="L213" s="22"/>
      <c r="M213" s="23"/>
    </row>
    <row r="214" spans="1:13" ht="52.5" customHeight="1" thickBot="1" x14ac:dyDescent="0.35">
      <c r="A214" s="32" t="s">
        <v>205</v>
      </c>
      <c r="B214" s="33" t="s">
        <v>87</v>
      </c>
      <c r="C214" s="34" t="s">
        <v>90</v>
      </c>
      <c r="D214" s="35" t="s">
        <v>207</v>
      </c>
      <c r="E214" s="36">
        <v>50000</v>
      </c>
      <c r="F214" s="36">
        <v>0</v>
      </c>
      <c r="G214" s="37">
        <v>0</v>
      </c>
      <c r="H214" s="37">
        <v>0</v>
      </c>
      <c r="I214" s="36">
        <v>0</v>
      </c>
      <c r="J214" s="36">
        <f>E214+F214-G214-I214</f>
        <v>50000</v>
      </c>
      <c r="K214" s="23"/>
      <c r="L214" s="22"/>
      <c r="M214" s="23"/>
    </row>
    <row r="215" spans="1:13" ht="20.25" customHeight="1" thickBot="1" x14ac:dyDescent="0.35">
      <c r="A215" s="49" t="s">
        <v>97</v>
      </c>
      <c r="B215" s="50"/>
      <c r="C215" s="50"/>
      <c r="D215" s="51"/>
      <c r="E215" s="41">
        <f t="shared" ref="E215:J215" si="56">SUM(E213:E214)</f>
        <v>70000</v>
      </c>
      <c r="F215" s="41">
        <f t="shared" si="56"/>
        <v>0</v>
      </c>
      <c r="G215" s="41">
        <f t="shared" si="56"/>
        <v>0</v>
      </c>
      <c r="H215" s="41">
        <f t="shared" si="56"/>
        <v>0</v>
      </c>
      <c r="I215" s="41">
        <f t="shared" si="56"/>
        <v>0</v>
      </c>
      <c r="J215" s="41">
        <f t="shared" si="56"/>
        <v>70000</v>
      </c>
      <c r="K215" s="23"/>
      <c r="L215" s="22"/>
      <c r="M215" s="23"/>
    </row>
    <row r="216" spans="1:13" ht="22.5" customHeight="1" thickBot="1" x14ac:dyDescent="0.35">
      <c r="A216" s="32" t="s">
        <v>205</v>
      </c>
      <c r="B216" s="33" t="s">
        <v>98</v>
      </c>
      <c r="C216" s="34" t="s">
        <v>208</v>
      </c>
      <c r="D216" s="35"/>
      <c r="E216" s="36">
        <v>10000</v>
      </c>
      <c r="F216" s="36">
        <v>0</v>
      </c>
      <c r="G216" s="37">
        <v>0</v>
      </c>
      <c r="H216" s="37">
        <v>0</v>
      </c>
      <c r="I216" s="36">
        <v>0</v>
      </c>
      <c r="J216" s="36">
        <f>E216+F216-G216-I216</f>
        <v>10000</v>
      </c>
      <c r="K216" s="23"/>
      <c r="L216" s="22"/>
      <c r="M216" s="23"/>
    </row>
    <row r="217" spans="1:13" ht="23.25" customHeight="1" thickBot="1" x14ac:dyDescent="0.35">
      <c r="A217" s="49" t="s">
        <v>105</v>
      </c>
      <c r="B217" s="50"/>
      <c r="C217" s="50"/>
      <c r="D217" s="51"/>
      <c r="E217" s="41">
        <f t="shared" ref="E217:J217" si="57">E216</f>
        <v>10000</v>
      </c>
      <c r="F217" s="41">
        <f t="shared" si="57"/>
        <v>0</v>
      </c>
      <c r="G217" s="41">
        <f t="shared" si="57"/>
        <v>0</v>
      </c>
      <c r="H217" s="41">
        <f t="shared" si="57"/>
        <v>0</v>
      </c>
      <c r="I217" s="41">
        <f t="shared" si="57"/>
        <v>0</v>
      </c>
      <c r="J217" s="41">
        <f t="shared" si="57"/>
        <v>10000</v>
      </c>
      <c r="K217" s="23"/>
      <c r="L217" s="22"/>
      <c r="M217" s="23"/>
    </row>
    <row r="218" spans="1:13" ht="23.25" customHeight="1" thickBot="1" x14ac:dyDescent="0.35">
      <c r="A218" s="38" t="s">
        <v>209</v>
      </c>
      <c r="B218" s="39"/>
      <c r="C218" s="39"/>
      <c r="D218" s="40"/>
      <c r="E218" s="41">
        <f t="shared" ref="E218:J218" si="58">E215+E217</f>
        <v>80000</v>
      </c>
      <c r="F218" s="41">
        <f t="shared" si="58"/>
        <v>0</v>
      </c>
      <c r="G218" s="41">
        <f t="shared" si="58"/>
        <v>0</v>
      </c>
      <c r="H218" s="41">
        <f t="shared" si="58"/>
        <v>0</v>
      </c>
      <c r="I218" s="41">
        <f t="shared" si="58"/>
        <v>0</v>
      </c>
      <c r="J218" s="41">
        <f t="shared" si="58"/>
        <v>80000</v>
      </c>
      <c r="K218" s="23"/>
      <c r="L218" s="22"/>
      <c r="M218" s="23"/>
    </row>
    <row r="219" spans="1:13" ht="20.25" customHeight="1" thickBot="1" x14ac:dyDescent="0.35">
      <c r="A219" s="32" t="s">
        <v>210</v>
      </c>
      <c r="B219" s="33" t="s">
        <v>210</v>
      </c>
      <c r="C219" s="34" t="s">
        <v>211</v>
      </c>
      <c r="D219" s="35"/>
      <c r="E219" s="36">
        <v>131330</v>
      </c>
      <c r="F219" s="36">
        <v>0</v>
      </c>
      <c r="G219" s="37">
        <v>0</v>
      </c>
      <c r="H219" s="37">
        <v>10089</v>
      </c>
      <c r="I219" s="36">
        <f>H219+10124+10089</f>
        <v>30302</v>
      </c>
      <c r="J219" s="36">
        <f>E219+F219-G219-I219</f>
        <v>101028</v>
      </c>
      <c r="K219" s="23"/>
      <c r="L219" s="22"/>
      <c r="M219" s="23"/>
    </row>
    <row r="220" spans="1:13" ht="18.75" customHeight="1" thickBot="1" x14ac:dyDescent="0.35">
      <c r="A220" s="32" t="s">
        <v>210</v>
      </c>
      <c r="B220" s="33" t="s">
        <v>210</v>
      </c>
      <c r="C220" s="34" t="s">
        <v>212</v>
      </c>
      <c r="D220" s="35"/>
      <c r="E220" s="36">
        <v>24000</v>
      </c>
      <c r="F220" s="36">
        <v>0</v>
      </c>
      <c r="G220" s="37">
        <v>0</v>
      </c>
      <c r="H220" s="37">
        <v>1000</v>
      </c>
      <c r="I220" s="36">
        <f>H220+2000</f>
        <v>3000</v>
      </c>
      <c r="J220" s="36">
        <f>E220+F220-G220-I220</f>
        <v>21000</v>
      </c>
      <c r="K220" s="23"/>
      <c r="L220" s="22"/>
      <c r="M220" s="23"/>
    </row>
    <row r="221" spans="1:13" ht="21" customHeight="1" thickBot="1" x14ac:dyDescent="0.35">
      <c r="A221" s="32" t="s">
        <v>210</v>
      </c>
      <c r="B221" s="33" t="s">
        <v>210</v>
      </c>
      <c r="C221" s="34" t="s">
        <v>213</v>
      </c>
      <c r="D221" s="35"/>
      <c r="E221" s="36">
        <v>650000</v>
      </c>
      <c r="F221" s="36">
        <v>0</v>
      </c>
      <c r="G221" s="37">
        <v>350000</v>
      </c>
      <c r="H221" s="37">
        <v>4070</v>
      </c>
      <c r="I221" s="36">
        <f>H221+9240</f>
        <v>13310</v>
      </c>
      <c r="J221" s="36">
        <f>E221+F221-G221-I221</f>
        <v>286690</v>
      </c>
      <c r="K221" s="23"/>
      <c r="L221" s="22"/>
      <c r="M221" s="23"/>
    </row>
    <row r="222" spans="1:13" ht="21.75" customHeight="1" thickBot="1" x14ac:dyDescent="0.35">
      <c r="A222" s="32" t="s">
        <v>210</v>
      </c>
      <c r="B222" s="33" t="s">
        <v>210</v>
      </c>
      <c r="C222" s="34" t="s">
        <v>214</v>
      </c>
      <c r="D222" s="35"/>
      <c r="E222" s="36">
        <v>200000</v>
      </c>
      <c r="F222" s="36">
        <v>33700</v>
      </c>
      <c r="G222" s="37">
        <v>0</v>
      </c>
      <c r="H222" s="37">
        <v>133632</v>
      </c>
      <c r="I222" s="36">
        <f>H222</f>
        <v>133632</v>
      </c>
      <c r="J222" s="36">
        <f>E222+F222-G222-I222</f>
        <v>100068</v>
      </c>
      <c r="K222" s="23"/>
      <c r="L222" s="22"/>
      <c r="M222" s="23"/>
    </row>
    <row r="223" spans="1:13" ht="39.950000000000003" customHeight="1" thickBot="1" x14ac:dyDescent="0.35">
      <c r="A223" s="32" t="s">
        <v>210</v>
      </c>
      <c r="B223" s="33" t="s">
        <v>210</v>
      </c>
      <c r="C223" s="34" t="s">
        <v>215</v>
      </c>
      <c r="D223" s="35"/>
      <c r="E223" s="36">
        <v>199220</v>
      </c>
      <c r="F223" s="36">
        <v>0</v>
      </c>
      <c r="G223" s="37">
        <v>0</v>
      </c>
      <c r="H223" s="37">
        <v>0</v>
      </c>
      <c r="I223" s="36">
        <f>H223+199220</f>
        <v>199220</v>
      </c>
      <c r="J223" s="36">
        <f>E223+F223-G223-I223</f>
        <v>0</v>
      </c>
      <c r="K223" s="23"/>
      <c r="L223" s="22"/>
      <c r="M223" s="23"/>
    </row>
    <row r="224" spans="1:13" ht="21" customHeight="1" thickBot="1" x14ac:dyDescent="0.35">
      <c r="A224" s="49" t="s">
        <v>216</v>
      </c>
      <c r="B224" s="50"/>
      <c r="C224" s="50"/>
      <c r="D224" s="51"/>
      <c r="E224" s="41">
        <f t="shared" ref="E224:J224" si="59">SUM(E219:E223)</f>
        <v>1204550</v>
      </c>
      <c r="F224" s="41">
        <f t="shared" si="59"/>
        <v>33700</v>
      </c>
      <c r="G224" s="41">
        <f t="shared" si="59"/>
        <v>350000</v>
      </c>
      <c r="H224" s="41">
        <f t="shared" si="59"/>
        <v>148791</v>
      </c>
      <c r="I224" s="41">
        <f t="shared" si="59"/>
        <v>379464</v>
      </c>
      <c r="J224" s="41">
        <f t="shared" si="59"/>
        <v>508786</v>
      </c>
      <c r="K224" s="23"/>
      <c r="L224" s="22"/>
      <c r="M224" s="23"/>
    </row>
    <row r="225" spans="1:13" ht="22.5" customHeight="1" thickBot="1" x14ac:dyDescent="0.35">
      <c r="A225" s="49" t="s">
        <v>217</v>
      </c>
      <c r="B225" s="50"/>
      <c r="C225" s="50"/>
      <c r="D225" s="51"/>
      <c r="E225" s="41">
        <f t="shared" ref="E225:J225" si="60">E224</f>
        <v>1204550</v>
      </c>
      <c r="F225" s="41">
        <f t="shared" si="60"/>
        <v>33700</v>
      </c>
      <c r="G225" s="41">
        <f t="shared" si="60"/>
        <v>350000</v>
      </c>
      <c r="H225" s="41">
        <f t="shared" si="60"/>
        <v>148791</v>
      </c>
      <c r="I225" s="41">
        <f t="shared" si="60"/>
        <v>379464</v>
      </c>
      <c r="J225" s="41">
        <f t="shared" si="60"/>
        <v>508786</v>
      </c>
      <c r="K225" s="23"/>
      <c r="L225" s="22"/>
      <c r="M225" s="23"/>
    </row>
    <row r="226" spans="1:13" ht="21" customHeight="1" thickBot="1" x14ac:dyDescent="0.35">
      <c r="A226" s="49" t="s">
        <v>218</v>
      </c>
      <c r="B226" s="50"/>
      <c r="C226" s="50"/>
      <c r="D226" s="51"/>
      <c r="E226" s="41">
        <f t="shared" ref="E226:J226" si="61">E64+E89+E97+E122+E131+E141+E175+E180+E189+E201+E212+E218+E225</f>
        <v>32922000</v>
      </c>
      <c r="F226" s="41">
        <f t="shared" si="61"/>
        <v>717700</v>
      </c>
      <c r="G226" s="41">
        <f t="shared" si="61"/>
        <v>717700</v>
      </c>
      <c r="H226" s="41">
        <f t="shared" si="61"/>
        <v>2590081.33</v>
      </c>
      <c r="I226" s="41">
        <f t="shared" si="61"/>
        <v>6167116.5099999998</v>
      </c>
      <c r="J226" s="41">
        <f t="shared" si="61"/>
        <v>26754883.490000002</v>
      </c>
      <c r="K226" s="22"/>
      <c r="L226" s="22"/>
      <c r="M226" s="23"/>
    </row>
  </sheetData>
  <mergeCells count="60">
    <mergeCell ref="A215:D215"/>
    <mergeCell ref="A217:D217"/>
    <mergeCell ref="A218:D218"/>
    <mergeCell ref="A224:D224"/>
    <mergeCell ref="A225:D225"/>
    <mergeCell ref="A226:D226"/>
    <mergeCell ref="A197:D197"/>
    <mergeCell ref="A200:D200"/>
    <mergeCell ref="A201:D201"/>
    <mergeCell ref="A207:D207"/>
    <mergeCell ref="A211:D211"/>
    <mergeCell ref="A212:D212"/>
    <mergeCell ref="A175:D175"/>
    <mergeCell ref="A177:D177"/>
    <mergeCell ref="A179:D179"/>
    <mergeCell ref="A180:D180"/>
    <mergeCell ref="A188:D188"/>
    <mergeCell ref="A189:D189"/>
    <mergeCell ref="A141:D141"/>
    <mergeCell ref="A146:D146"/>
    <mergeCell ref="A151:D151"/>
    <mergeCell ref="A157:D157"/>
    <mergeCell ref="A164:D164"/>
    <mergeCell ref="A174:D174"/>
    <mergeCell ref="A128:D128"/>
    <mergeCell ref="A130:D130"/>
    <mergeCell ref="A131:D131"/>
    <mergeCell ref="A134:D134"/>
    <mergeCell ref="A136:D136"/>
    <mergeCell ref="A140:D140"/>
    <mergeCell ref="A106:D106"/>
    <mergeCell ref="A112:D112"/>
    <mergeCell ref="A115:D115"/>
    <mergeCell ref="A121:D121"/>
    <mergeCell ref="A122:D122"/>
    <mergeCell ref="A126:D126"/>
    <mergeCell ref="A86:D86"/>
    <mergeCell ref="A88:D88"/>
    <mergeCell ref="A89:D89"/>
    <mergeCell ref="A96:D96"/>
    <mergeCell ref="A97:D97"/>
    <mergeCell ref="A102:D102"/>
    <mergeCell ref="A61:D61"/>
    <mergeCell ref="A63:D63"/>
    <mergeCell ref="A64:D64"/>
    <mergeCell ref="A70:D70"/>
    <mergeCell ref="A75:D75"/>
    <mergeCell ref="A83:D83"/>
    <mergeCell ref="A25:D25"/>
    <mergeCell ref="A35:D35"/>
    <mergeCell ref="A42:D42"/>
    <mergeCell ref="A47:D47"/>
    <mergeCell ref="A57:D57"/>
    <mergeCell ref="A59:D59"/>
    <mergeCell ref="A1:J1"/>
    <mergeCell ref="A2:J2"/>
    <mergeCell ref="A3:J3"/>
    <mergeCell ref="A4:J4"/>
    <mergeCell ref="A11:D11"/>
    <mergeCell ref="A20:D20"/>
  </mergeCells>
  <pageMargins left="0.19685039370078741" right="0.19685039370078741" top="0.47244094488188981" bottom="0.47244094488188981" header="0.47244094488188981" footer="0.47244094488188981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รายรับจริงไตรมาส 1</vt:lpstr>
      <vt:lpstr>รายจ่ายไตรมาส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2017-07-02T09:47:02Z</dcterms:created>
  <dcterms:modified xsi:type="dcterms:W3CDTF">2017-07-02T09:48:18Z</dcterms:modified>
</cp:coreProperties>
</file>