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รายรับจริงไตรมาส 4" sheetId="1" r:id="rId1"/>
    <sheet name="รายจ่ายไตรมาส 4" sheetId="2" r:id="rId2"/>
  </sheets>
  <calcPr calcId="144525"/>
</workbook>
</file>

<file path=xl/calcChain.xml><?xml version="1.0" encoding="utf-8"?>
<calcChain xmlns="http://schemas.openxmlformats.org/spreadsheetml/2006/main">
  <c r="F235" i="2" l="1"/>
  <c r="E235" i="2"/>
  <c r="H234" i="2"/>
  <c r="H235" i="2" s="1"/>
  <c r="G234" i="2"/>
  <c r="G235" i="2" s="1"/>
  <c r="F234" i="2"/>
  <c r="E234" i="2"/>
  <c r="I233" i="2"/>
  <c r="J233" i="2" s="1"/>
  <c r="I232" i="2"/>
  <c r="J232" i="2" s="1"/>
  <c r="I231" i="2"/>
  <c r="J231" i="2" s="1"/>
  <c r="G231" i="2"/>
  <c r="I230" i="2"/>
  <c r="J230" i="2" s="1"/>
  <c r="J229" i="2"/>
  <c r="I229" i="2"/>
  <c r="I228" i="2"/>
  <c r="H228" i="2"/>
  <c r="J227" i="2"/>
  <c r="I227" i="2"/>
  <c r="H227" i="2"/>
  <c r="G227" i="2"/>
  <c r="F227" i="2"/>
  <c r="E227" i="2"/>
  <c r="J226" i="2"/>
  <c r="I225" i="2"/>
  <c r="H225" i="2"/>
  <c r="G225" i="2"/>
  <c r="F225" i="2"/>
  <c r="E225" i="2"/>
  <c r="E228" i="2" s="1"/>
  <c r="J224" i="2"/>
  <c r="I224" i="2"/>
  <c r="J223" i="2"/>
  <c r="J225" i="2" s="1"/>
  <c r="J228" i="2" s="1"/>
  <c r="G221" i="2"/>
  <c r="F221" i="2"/>
  <c r="I220" i="2"/>
  <c r="H220" i="2"/>
  <c r="G220" i="2"/>
  <c r="F220" i="2"/>
  <c r="E220" i="2"/>
  <c r="J219" i="2"/>
  <c r="J220" i="2" s="1"/>
  <c r="I219" i="2"/>
  <c r="H218" i="2"/>
  <c r="G218" i="2"/>
  <c r="F218" i="2"/>
  <c r="E218" i="2"/>
  <c r="J217" i="2"/>
  <c r="I217" i="2"/>
  <c r="I216" i="2"/>
  <c r="J216" i="2" s="1"/>
  <c r="J215" i="2"/>
  <c r="I215" i="2"/>
  <c r="I214" i="2"/>
  <c r="J214" i="2" s="1"/>
  <c r="J213" i="2"/>
  <c r="J218" i="2" s="1"/>
  <c r="J221" i="2" s="1"/>
  <c r="I213" i="2"/>
  <c r="H212" i="2"/>
  <c r="E212" i="2"/>
  <c r="H211" i="2"/>
  <c r="G211" i="2"/>
  <c r="F211" i="2"/>
  <c r="E211" i="2"/>
  <c r="I210" i="2"/>
  <c r="J210" i="2" s="1"/>
  <c r="J209" i="2"/>
  <c r="J211" i="2" s="1"/>
  <c r="I209" i="2"/>
  <c r="I211" i="2" s="1"/>
  <c r="H208" i="2"/>
  <c r="G208" i="2"/>
  <c r="G212" i="2" s="1"/>
  <c r="F208" i="2"/>
  <c r="F212" i="2" s="1"/>
  <c r="E208" i="2"/>
  <c r="J207" i="2"/>
  <c r="I207" i="2"/>
  <c r="J205" i="2"/>
  <c r="I204" i="2"/>
  <c r="J204" i="2" s="1"/>
  <c r="I203" i="2"/>
  <c r="J203" i="2" s="1"/>
  <c r="J202" i="2"/>
  <c r="I202" i="2"/>
  <c r="J201" i="2"/>
  <c r="I200" i="2"/>
  <c r="J200" i="2" s="1"/>
  <c r="F199" i="2"/>
  <c r="H198" i="2"/>
  <c r="H199" i="2" s="1"/>
  <c r="F198" i="2"/>
  <c r="E198" i="2"/>
  <c r="E199" i="2" s="1"/>
  <c r="J197" i="2"/>
  <c r="G197" i="2"/>
  <c r="G196" i="2"/>
  <c r="J196" i="2" s="1"/>
  <c r="J194" i="2"/>
  <c r="G194" i="2"/>
  <c r="G193" i="2"/>
  <c r="J193" i="2" s="1"/>
  <c r="J192" i="2"/>
  <c r="G192" i="2"/>
  <c r="I191" i="2"/>
  <c r="I198" i="2" s="1"/>
  <c r="I199" i="2" s="1"/>
  <c r="G191" i="2"/>
  <c r="H190" i="2"/>
  <c r="G190" i="2"/>
  <c r="J189" i="2"/>
  <c r="I189" i="2"/>
  <c r="H189" i="2"/>
  <c r="G189" i="2"/>
  <c r="F189" i="2"/>
  <c r="E189" i="2"/>
  <c r="J188" i="2"/>
  <c r="I188" i="2"/>
  <c r="J187" i="2"/>
  <c r="J190" i="2" s="1"/>
  <c r="I187" i="2"/>
  <c r="I190" i="2" s="1"/>
  <c r="H187" i="2"/>
  <c r="G187" i="2"/>
  <c r="F187" i="2"/>
  <c r="F190" i="2" s="1"/>
  <c r="E187" i="2"/>
  <c r="E190" i="2" s="1"/>
  <c r="J186" i="2"/>
  <c r="I186" i="2"/>
  <c r="H184" i="2"/>
  <c r="G184" i="2"/>
  <c r="F184" i="2"/>
  <c r="E184" i="2"/>
  <c r="I183" i="2"/>
  <c r="I184" i="2" s="1"/>
  <c r="H182" i="2"/>
  <c r="G182" i="2"/>
  <c r="F182" i="2"/>
  <c r="E182" i="2"/>
  <c r="I181" i="2"/>
  <c r="J181" i="2" s="1"/>
  <c r="J179" i="2"/>
  <c r="I179" i="2"/>
  <c r="J178" i="2"/>
  <c r="J177" i="2"/>
  <c r="I177" i="2"/>
  <c r="I176" i="2"/>
  <c r="J176" i="2" s="1"/>
  <c r="J175" i="2"/>
  <c r="I175" i="2"/>
  <c r="J174" i="2"/>
  <c r="J173" i="2"/>
  <c r="G172" i="2"/>
  <c r="F172" i="2"/>
  <c r="E172" i="2"/>
  <c r="I171" i="2"/>
  <c r="J171" i="2" s="1"/>
  <c r="J170" i="2"/>
  <c r="I170" i="2"/>
  <c r="H170" i="2"/>
  <c r="I169" i="2"/>
  <c r="J169" i="2" s="1"/>
  <c r="H169" i="2"/>
  <c r="H172" i="2" s="1"/>
  <c r="I168" i="2"/>
  <c r="F168" i="2"/>
  <c r="J166" i="2"/>
  <c r="I165" i="2"/>
  <c r="J165" i="2" s="1"/>
  <c r="J164" i="2"/>
  <c r="I164" i="2"/>
  <c r="G163" i="2"/>
  <c r="F163" i="2"/>
  <c r="E163" i="2"/>
  <c r="J162" i="2"/>
  <c r="I162" i="2"/>
  <c r="H162" i="2"/>
  <c r="I161" i="2"/>
  <c r="J161" i="2" s="1"/>
  <c r="H160" i="2"/>
  <c r="I160" i="2" s="1"/>
  <c r="J160" i="2" s="1"/>
  <c r="H159" i="2"/>
  <c r="G159" i="2"/>
  <c r="F159" i="2"/>
  <c r="F185" i="2" s="1"/>
  <c r="E159" i="2"/>
  <c r="I158" i="2"/>
  <c r="J158" i="2" s="1"/>
  <c r="J157" i="2"/>
  <c r="I157" i="2"/>
  <c r="G156" i="2"/>
  <c r="J156" i="2" s="1"/>
  <c r="J155" i="2"/>
  <c r="J159" i="2" s="1"/>
  <c r="I155" i="2"/>
  <c r="I159" i="2" s="1"/>
  <c r="I154" i="2"/>
  <c r="H154" i="2"/>
  <c r="G154" i="2"/>
  <c r="F154" i="2"/>
  <c r="E154" i="2"/>
  <c r="E185" i="2" s="1"/>
  <c r="J153" i="2"/>
  <c r="I153" i="2"/>
  <c r="I151" i="2"/>
  <c r="J151" i="2" s="1"/>
  <c r="J150" i="2"/>
  <c r="I150" i="2"/>
  <c r="I149" i="2"/>
  <c r="J149" i="2" s="1"/>
  <c r="F148" i="2"/>
  <c r="I147" i="2"/>
  <c r="H147" i="2"/>
  <c r="G147" i="2"/>
  <c r="F147" i="2"/>
  <c r="E147" i="2"/>
  <c r="J146" i="2"/>
  <c r="J147" i="2" s="1"/>
  <c r="I146" i="2"/>
  <c r="I145" i="2"/>
  <c r="H145" i="2"/>
  <c r="G145" i="2"/>
  <c r="F145" i="2"/>
  <c r="E145" i="2"/>
  <c r="J144" i="2"/>
  <c r="J145" i="2" s="1"/>
  <c r="H143" i="2"/>
  <c r="H148" i="2" s="1"/>
  <c r="G143" i="2"/>
  <c r="G148" i="2" s="1"/>
  <c r="F143" i="2"/>
  <c r="E143" i="2"/>
  <c r="E148" i="2" s="1"/>
  <c r="I142" i="2"/>
  <c r="J142" i="2" s="1"/>
  <c r="I141" i="2"/>
  <c r="J141" i="2" s="1"/>
  <c r="F140" i="2"/>
  <c r="E140" i="2"/>
  <c r="H139" i="2"/>
  <c r="G139" i="2"/>
  <c r="F139" i="2"/>
  <c r="E139" i="2"/>
  <c r="I138" i="2"/>
  <c r="I139" i="2" s="1"/>
  <c r="H135" i="2"/>
  <c r="G135" i="2"/>
  <c r="F135" i="2"/>
  <c r="E135" i="2"/>
  <c r="J134" i="2"/>
  <c r="J135" i="2" s="1"/>
  <c r="I134" i="2"/>
  <c r="I135" i="2" s="1"/>
  <c r="H133" i="2"/>
  <c r="G133" i="2"/>
  <c r="G140" i="2" s="1"/>
  <c r="F133" i="2"/>
  <c r="E133" i="2"/>
  <c r="I132" i="2"/>
  <c r="J132" i="2" s="1"/>
  <c r="I131" i="2"/>
  <c r="J131" i="2" s="1"/>
  <c r="E130" i="2"/>
  <c r="H129" i="2"/>
  <c r="G129" i="2"/>
  <c r="F129" i="2"/>
  <c r="E129" i="2"/>
  <c r="I128" i="2"/>
  <c r="J128" i="2" s="1"/>
  <c r="J127" i="2"/>
  <c r="I127" i="2"/>
  <c r="I126" i="2"/>
  <c r="J126" i="2" s="1"/>
  <c r="J125" i="2"/>
  <c r="I125" i="2"/>
  <c r="I124" i="2"/>
  <c r="I129" i="2" s="1"/>
  <c r="H122" i="2"/>
  <c r="G122" i="2"/>
  <c r="F122" i="2"/>
  <c r="E122" i="2"/>
  <c r="I121" i="2"/>
  <c r="J121" i="2" s="1"/>
  <c r="J120" i="2"/>
  <c r="I120" i="2"/>
  <c r="I119" i="2"/>
  <c r="I122" i="2" s="1"/>
  <c r="G118" i="2"/>
  <c r="F118" i="2"/>
  <c r="E118" i="2"/>
  <c r="J117" i="2"/>
  <c r="J116" i="2"/>
  <c r="I116" i="2"/>
  <c r="I115" i="2"/>
  <c r="J115" i="2" s="1"/>
  <c r="H115" i="2"/>
  <c r="H118" i="2" s="1"/>
  <c r="J114" i="2"/>
  <c r="I114" i="2"/>
  <c r="I113" i="2"/>
  <c r="H113" i="2"/>
  <c r="G113" i="2"/>
  <c r="F113" i="2"/>
  <c r="F130" i="2" s="1"/>
  <c r="E113" i="2"/>
  <c r="J112" i="2"/>
  <c r="I112" i="2"/>
  <c r="J111" i="2"/>
  <c r="J113" i="2" s="1"/>
  <c r="J110" i="2"/>
  <c r="I110" i="2"/>
  <c r="I106" i="2"/>
  <c r="H106" i="2"/>
  <c r="G106" i="2"/>
  <c r="F106" i="2"/>
  <c r="E106" i="2"/>
  <c r="J105" i="2"/>
  <c r="I105" i="2"/>
  <c r="I104" i="2"/>
  <c r="J104" i="2" s="1"/>
  <c r="J103" i="2"/>
  <c r="I103" i="2"/>
  <c r="I102" i="2"/>
  <c r="J102" i="2" s="1"/>
  <c r="G101" i="2"/>
  <c r="F101" i="2"/>
  <c r="G100" i="2"/>
  <c r="F100" i="2"/>
  <c r="E100" i="2"/>
  <c r="E101" i="2" s="1"/>
  <c r="J99" i="2"/>
  <c r="I99" i="2"/>
  <c r="G99" i="2"/>
  <c r="I98" i="2"/>
  <c r="J98" i="2" s="1"/>
  <c r="H97" i="2"/>
  <c r="I97" i="2" s="1"/>
  <c r="J97" i="2" s="1"/>
  <c r="J95" i="2"/>
  <c r="I95" i="2"/>
  <c r="I94" i="2"/>
  <c r="J94" i="2" s="1"/>
  <c r="I92" i="2"/>
  <c r="H92" i="2"/>
  <c r="G92" i="2"/>
  <c r="F92" i="2"/>
  <c r="E92" i="2"/>
  <c r="J91" i="2"/>
  <c r="J92" i="2" s="1"/>
  <c r="I91" i="2"/>
  <c r="H90" i="2"/>
  <c r="G90" i="2"/>
  <c r="F90" i="2"/>
  <c r="E90" i="2"/>
  <c r="J89" i="2"/>
  <c r="I89" i="2"/>
  <c r="I88" i="2"/>
  <c r="J88" i="2" s="1"/>
  <c r="J90" i="2" s="1"/>
  <c r="G87" i="2"/>
  <c r="F87" i="2"/>
  <c r="E87" i="2"/>
  <c r="I86" i="2"/>
  <c r="J86" i="2" s="1"/>
  <c r="J85" i="2"/>
  <c r="I85" i="2"/>
  <c r="I84" i="2"/>
  <c r="J84" i="2" s="1"/>
  <c r="J83" i="2"/>
  <c r="I83" i="2"/>
  <c r="H82" i="2"/>
  <c r="I82" i="2" s="1"/>
  <c r="J82" i="2" s="1"/>
  <c r="H81" i="2"/>
  <c r="H79" i="2"/>
  <c r="G79" i="2"/>
  <c r="G93" i="2" s="1"/>
  <c r="F79" i="2"/>
  <c r="E79" i="2"/>
  <c r="J78" i="2"/>
  <c r="J77" i="2"/>
  <c r="I77" i="2"/>
  <c r="J76" i="2"/>
  <c r="I75" i="2"/>
  <c r="H74" i="2"/>
  <c r="G74" i="2"/>
  <c r="F74" i="2"/>
  <c r="F93" i="2" s="1"/>
  <c r="E74" i="2"/>
  <c r="E93" i="2" s="1"/>
  <c r="I73" i="2"/>
  <c r="J73" i="2" s="1"/>
  <c r="J72" i="2"/>
  <c r="I72" i="2"/>
  <c r="I71" i="2"/>
  <c r="J71" i="2" s="1"/>
  <c r="J74" i="2" s="1"/>
  <c r="J70" i="2"/>
  <c r="I70" i="2"/>
  <c r="H68" i="2"/>
  <c r="G68" i="2"/>
  <c r="F68" i="2"/>
  <c r="E68" i="2"/>
  <c r="I67" i="2"/>
  <c r="H66" i="2"/>
  <c r="G66" i="2"/>
  <c r="F66" i="2"/>
  <c r="E66" i="2"/>
  <c r="I65" i="2"/>
  <c r="J64" i="2"/>
  <c r="I64" i="2"/>
  <c r="H64" i="2"/>
  <c r="G64" i="2"/>
  <c r="F64" i="2"/>
  <c r="E64" i="2"/>
  <c r="J63" i="2"/>
  <c r="H61" i="2"/>
  <c r="G61" i="2"/>
  <c r="F61" i="2"/>
  <c r="E61" i="2"/>
  <c r="I60" i="2"/>
  <c r="J60" i="2" s="1"/>
  <c r="J59" i="2"/>
  <c r="I59" i="2"/>
  <c r="I58" i="2"/>
  <c r="J58" i="2" s="1"/>
  <c r="I57" i="2"/>
  <c r="J57" i="2" s="1"/>
  <c r="J56" i="2"/>
  <c r="I56" i="2"/>
  <c r="I55" i="2"/>
  <c r="J55" i="2" s="1"/>
  <c r="J54" i="2"/>
  <c r="I54" i="2"/>
  <c r="I53" i="2"/>
  <c r="J53" i="2" s="1"/>
  <c r="J52" i="2"/>
  <c r="I52" i="2"/>
  <c r="I51" i="2"/>
  <c r="I61" i="2" s="1"/>
  <c r="H48" i="2"/>
  <c r="G48" i="2"/>
  <c r="F48" i="2"/>
  <c r="E48" i="2"/>
  <c r="I47" i="2"/>
  <c r="J47" i="2" s="1"/>
  <c r="J46" i="2"/>
  <c r="I46" i="2"/>
  <c r="I45" i="2"/>
  <c r="J45" i="2" s="1"/>
  <c r="J44" i="2"/>
  <c r="I44" i="2"/>
  <c r="I48" i="2" s="1"/>
  <c r="G43" i="2"/>
  <c r="F43" i="2"/>
  <c r="E43" i="2"/>
  <c r="J42" i="2"/>
  <c r="I42" i="2"/>
  <c r="J41" i="2"/>
  <c r="I41" i="2"/>
  <c r="H40" i="2"/>
  <c r="I40" i="2" s="1"/>
  <c r="J40" i="2" s="1"/>
  <c r="J39" i="2"/>
  <c r="I39" i="2"/>
  <c r="H39" i="2"/>
  <c r="I38" i="2"/>
  <c r="I43" i="2" s="1"/>
  <c r="J37" i="2"/>
  <c r="I37" i="2"/>
  <c r="G36" i="2"/>
  <c r="F36" i="2"/>
  <c r="E36" i="2"/>
  <c r="H35" i="2"/>
  <c r="I35" i="2" s="1"/>
  <c r="J35" i="2" s="1"/>
  <c r="J34" i="2"/>
  <c r="I34" i="2"/>
  <c r="I32" i="2"/>
  <c r="J32" i="2" s="1"/>
  <c r="J31" i="2"/>
  <c r="I31" i="2"/>
  <c r="I30" i="2"/>
  <c r="J30" i="2" s="1"/>
  <c r="J29" i="2"/>
  <c r="I29" i="2"/>
  <c r="I28" i="2"/>
  <c r="J28" i="2" s="1"/>
  <c r="H28" i="2"/>
  <c r="J27" i="2"/>
  <c r="I27" i="2"/>
  <c r="J26" i="2"/>
  <c r="J36" i="2" s="1"/>
  <c r="I26" i="2"/>
  <c r="H26" i="2"/>
  <c r="H25" i="2"/>
  <c r="G25" i="2"/>
  <c r="F25" i="2"/>
  <c r="E25" i="2"/>
  <c r="J24" i="2"/>
  <c r="I24" i="2"/>
  <c r="I23" i="2"/>
  <c r="J23" i="2" s="1"/>
  <c r="J22" i="2"/>
  <c r="I22" i="2"/>
  <c r="H21" i="2"/>
  <c r="I21" i="2" s="1"/>
  <c r="H20" i="2"/>
  <c r="G20" i="2"/>
  <c r="F20" i="2"/>
  <c r="E20" i="2"/>
  <c r="I19" i="2"/>
  <c r="J19" i="2" s="1"/>
  <c r="I18" i="2"/>
  <c r="J18" i="2" s="1"/>
  <c r="I17" i="2"/>
  <c r="J17" i="2" s="1"/>
  <c r="J15" i="2"/>
  <c r="I15" i="2"/>
  <c r="I14" i="2"/>
  <c r="J14" i="2" s="1"/>
  <c r="J13" i="2"/>
  <c r="I13" i="2"/>
  <c r="I12" i="2"/>
  <c r="J12" i="2" s="1"/>
  <c r="H11" i="2"/>
  <c r="G11" i="2"/>
  <c r="F11" i="2"/>
  <c r="F69" i="2" s="1"/>
  <c r="E11" i="2"/>
  <c r="E69" i="2" s="1"/>
  <c r="I10" i="2"/>
  <c r="J10" i="2" s="1"/>
  <c r="J9" i="2"/>
  <c r="I9" i="2"/>
  <c r="I8" i="2"/>
  <c r="J8" i="2" s="1"/>
  <c r="J7" i="2"/>
  <c r="I7" i="2"/>
  <c r="I6" i="2"/>
  <c r="I11" i="2" s="1"/>
  <c r="E59" i="1"/>
  <c r="D58" i="1"/>
  <c r="D57" i="1"/>
  <c r="D56" i="1"/>
  <c r="D55" i="1"/>
  <c r="D54" i="1"/>
  <c r="D53" i="1"/>
  <c r="D52" i="1"/>
  <c r="D51" i="1"/>
  <c r="D50" i="1"/>
  <c r="E49" i="1"/>
  <c r="D49" i="1"/>
  <c r="D59" i="1" s="1"/>
  <c r="E46" i="1"/>
  <c r="D46" i="1"/>
  <c r="D45" i="1"/>
  <c r="E42" i="1"/>
  <c r="C42" i="1"/>
  <c r="D41" i="1"/>
  <c r="D40" i="1"/>
  <c r="D39" i="1"/>
  <c r="D38" i="1"/>
  <c r="D37" i="1"/>
  <c r="D36" i="1"/>
  <c r="D34" i="1"/>
  <c r="D33" i="1"/>
  <c r="D32" i="1"/>
  <c r="D31" i="1"/>
  <c r="D30" i="1"/>
  <c r="D42" i="1" s="1"/>
  <c r="E27" i="1"/>
  <c r="C27" i="1"/>
  <c r="D26" i="1"/>
  <c r="D25" i="1"/>
  <c r="D27" i="1" s="1"/>
  <c r="E23" i="1"/>
  <c r="D23" i="1"/>
  <c r="D22" i="1"/>
  <c r="E20" i="1"/>
  <c r="C20" i="1"/>
  <c r="D19" i="1"/>
  <c r="D18" i="1"/>
  <c r="D17" i="1"/>
  <c r="D16" i="1"/>
  <c r="D15" i="1"/>
  <c r="D14" i="1"/>
  <c r="D13" i="1"/>
  <c r="D20" i="1" s="1"/>
  <c r="C11" i="1"/>
  <c r="C60" i="1" s="1"/>
  <c r="D10" i="1"/>
  <c r="E9" i="1"/>
  <c r="E11" i="1" s="1"/>
  <c r="E60" i="1" s="1"/>
  <c r="D8" i="1"/>
  <c r="J21" i="2" l="1"/>
  <c r="J25" i="2" s="1"/>
  <c r="I25" i="2"/>
  <c r="H69" i="2"/>
  <c r="I69" i="2"/>
  <c r="J20" i="2"/>
  <c r="J133" i="2"/>
  <c r="J140" i="2" s="1"/>
  <c r="G69" i="2"/>
  <c r="J51" i="2"/>
  <c r="J61" i="2" s="1"/>
  <c r="I68" i="2"/>
  <c r="J67" i="2"/>
  <c r="J68" i="2" s="1"/>
  <c r="G130" i="2"/>
  <c r="J119" i="2"/>
  <c r="J122" i="2" s="1"/>
  <c r="J208" i="2"/>
  <c r="J212" i="2" s="1"/>
  <c r="J6" i="2"/>
  <c r="J11" i="2" s="1"/>
  <c r="H36" i="2"/>
  <c r="J38" i="2"/>
  <c r="J43" i="2" s="1"/>
  <c r="I74" i="2"/>
  <c r="J100" i="2"/>
  <c r="J101" i="2" s="1"/>
  <c r="H100" i="2"/>
  <c r="H101" i="2" s="1"/>
  <c r="H130" i="2"/>
  <c r="J118" i="2"/>
  <c r="J130" i="2" s="1"/>
  <c r="H140" i="2"/>
  <c r="J138" i="2"/>
  <c r="J139" i="2" s="1"/>
  <c r="J154" i="2"/>
  <c r="G185" i="2"/>
  <c r="I163" i="2"/>
  <c r="I185" i="2" s="1"/>
  <c r="I182" i="2"/>
  <c r="H221" i="2"/>
  <c r="F228" i="2"/>
  <c r="F236" i="2" s="1"/>
  <c r="J234" i="2"/>
  <c r="J235" i="2" s="1"/>
  <c r="J163" i="2"/>
  <c r="J182" i="2"/>
  <c r="G198" i="2"/>
  <c r="G199" i="2" s="1"/>
  <c r="J191" i="2"/>
  <c r="J198" i="2" s="1"/>
  <c r="J199" i="2" s="1"/>
  <c r="I20" i="2"/>
  <c r="I36" i="2"/>
  <c r="J48" i="2"/>
  <c r="I79" i="2"/>
  <c r="J75" i="2"/>
  <c r="J79" i="2" s="1"/>
  <c r="I118" i="2"/>
  <c r="I130" i="2" s="1"/>
  <c r="H163" i="2"/>
  <c r="H185" i="2" s="1"/>
  <c r="J183" i="2"/>
  <c r="J184" i="2" s="1"/>
  <c r="I234" i="2"/>
  <c r="I235" i="2" s="1"/>
  <c r="H43" i="2"/>
  <c r="I66" i="2"/>
  <c r="J65" i="2"/>
  <c r="J66" i="2" s="1"/>
  <c r="H87" i="2"/>
  <c r="H93" i="2" s="1"/>
  <c r="I81" i="2"/>
  <c r="I90" i="2"/>
  <c r="I100" i="2"/>
  <c r="I101" i="2" s="1"/>
  <c r="J106" i="2"/>
  <c r="J124" i="2"/>
  <c r="J129" i="2" s="1"/>
  <c r="J143" i="2"/>
  <c r="J148" i="2" s="1"/>
  <c r="I172" i="2"/>
  <c r="J168" i="2"/>
  <c r="J172" i="2" s="1"/>
  <c r="I208" i="2"/>
  <c r="I212" i="2" s="1"/>
  <c r="E221" i="2"/>
  <c r="E236" i="2" s="1"/>
  <c r="I218" i="2"/>
  <c r="I221" i="2" s="1"/>
  <c r="G228" i="2"/>
  <c r="I133" i="2"/>
  <c r="I140" i="2" s="1"/>
  <c r="I143" i="2"/>
  <c r="I148" i="2" s="1"/>
  <c r="E61" i="1"/>
  <c r="D9" i="1"/>
  <c r="D11" i="1" s="1"/>
  <c r="D60" i="1" s="1"/>
  <c r="D61" i="1" s="1"/>
  <c r="I87" i="2" l="1"/>
  <c r="J81" i="2"/>
  <c r="J87" i="2" s="1"/>
  <c r="J93" i="2" s="1"/>
  <c r="H236" i="2"/>
  <c r="J185" i="2"/>
  <c r="J69" i="2"/>
  <c r="I93" i="2"/>
  <c r="I236" i="2" s="1"/>
  <c r="G236" i="2"/>
  <c r="J236" i="2" l="1"/>
</calcChain>
</file>

<file path=xl/comments1.xml><?xml version="1.0" encoding="utf-8"?>
<comments xmlns="http://schemas.openxmlformats.org/spreadsheetml/2006/main">
  <authors>
    <author>SC</author>
  </authors>
  <commentList>
    <comment ref="E49" authorId="0">
      <text>
        <r>
          <rPr>
            <b/>
            <sz val="8"/>
            <color indexed="81"/>
            <rFont val="Tahoma"/>
            <family val="2"/>
          </rPr>
          <t>SC:</t>
        </r>
        <r>
          <rPr>
            <sz val="8"/>
            <color indexed="81"/>
            <rFont val="Tahoma"/>
            <family val="2"/>
          </rPr>
          <t xml:space="preserve">
ปรับปรุงเป็นเงินรับฝากรอคืนจังหวัด(407830)
</t>
        </r>
      </text>
    </comment>
  </commentList>
</comments>
</file>

<file path=xl/sharedStrings.xml><?xml version="1.0" encoding="utf-8"?>
<sst xmlns="http://schemas.openxmlformats.org/spreadsheetml/2006/main" count="821" uniqueCount="235">
  <si>
    <t>องค์การบริหารส่วนตำบลเทพราช อำเภอสิชล จังหวัดนครศรีธรรมราช</t>
  </si>
  <si>
    <t>รายงานแสดงผลการดำเนินงาน (ด้านรายรับ)</t>
  </si>
  <si>
    <t>ไตรมาสที่ 4 ตั้งแต่เดือนกรกฏาคม - กันยายน 2559</t>
  </si>
  <si>
    <t>ประจำปีงบประมาณ พ.ศ. 2559</t>
  </si>
  <si>
    <t>ประเภท</t>
  </si>
  <si>
    <t>รหัสบัญชี</t>
  </si>
  <si>
    <t>ประมาณการ</t>
  </si>
  <si>
    <t>รับจริงถึงปัจจุบัน</t>
  </si>
  <si>
    <t>รับจริงเดือนนี้</t>
  </si>
  <si>
    <t>รายได้จัดเก็บเอง</t>
  </si>
  <si>
    <t>หมวดภาษีอากร</t>
  </si>
  <si>
    <t>(1) ภาษีโรงเรือนและที่ดิน</t>
  </si>
  <si>
    <t>(2) ภาษีบำรุงท้องที่</t>
  </si>
  <si>
    <t>(3) ภาษีป้าย</t>
  </si>
  <si>
    <t>รวม</t>
  </si>
  <si>
    <t>หมวดค่าธรรมเนียม ค่าปรับ และใบอนุญาต</t>
  </si>
  <si>
    <t>(1) ค่าธรรมเนียมเกี่ยวกับใบอนุญาตการขายสุรา</t>
  </si>
  <si>
    <t>(2) ค่าธรรมเนียมเกี่ยวกับใบอนุญาตการพนัน</t>
  </si>
  <si>
    <t>(3) ค่าธรรมเนียมเกี่ยวกับการควบคุมอาคาร</t>
  </si>
  <si>
    <t>(4) ค่าธรรมเนียมจดทะเบียนพาณิชย์</t>
  </si>
  <si>
    <t>(5) ค่าปรับการผิดสัญญา</t>
  </si>
  <si>
    <t>(6) ค่าใบอนุญาตประกอบการค้าสำหรับกิจการที่เป็นอันตรายต่อสุขภาพ</t>
  </si>
  <si>
    <t>(7) ค่าใบอนุญาตเกี่ยวกับการควบคุมอาคาร</t>
  </si>
  <si>
    <t>หมวดรายได้จากทรัพย์สิน</t>
  </si>
  <si>
    <t>(1) ดอกเบี้ย</t>
  </si>
  <si>
    <t>หมวดรายได้เบ็ดเตล็ด</t>
  </si>
  <si>
    <t>(1) ค่าขายแบบแปลน</t>
  </si>
  <si>
    <t>(2) รายได้เบ็ดเตล็ดอื่นๆ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</si>
  <si>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</si>
  <si>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</si>
  <si>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(1) ภาษีและค่าธรรมเนียมรถยนต์และล้อเลื่อน</t>
  </si>
  <si>
    <t>(2) ภาษีมูลค่าเพิ่มตาม พ.ร.บ. กำหนดแผนฯ</t>
  </si>
  <si>
    <t>(3) ภาษีมูลค่าเพิ่มตาม พ.ร.บ.จัดสรรรายได้ฯ</t>
  </si>
  <si>
    <t>(4) ภาษีธุรกิจเฉพาะ</t>
  </si>
  <si>
    <t>(5) ภาษีสุรา</t>
  </si>
  <si>
    <t>รับจริง</t>
  </si>
  <si>
    <t>(6) ภาษีสรรพสามิต</t>
  </si>
  <si>
    <t>(7) ค่าภาคหลวงแร่</t>
  </si>
  <si>
    <t>(8) ค่าภาคหลวงปิโตรเลียม</t>
  </si>
  <si>
    <t>(9) เงินที่เก็บตามกฎหมายว่าด้วยอุทยานแห่งชาติ</t>
  </si>
  <si>
    <t>(10) ค่าธรรมเนียมอากรป่าไม้</t>
  </si>
  <si>
    <t>(11) 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</si>
  <si>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</si>
  <si>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</si>
  <si>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(1) เงินอุดหนุนทั่วไป สำหรับดำเนินการตามอำนาจหน้าที่และภารกิจถ่ายโอนเลือกทำ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</si>
  <si>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</si>
  <si>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</si>
  <si>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เงินอุดหนุนระบุวัตถุประสงค์/เฉพาะกิจจากกรมส่งเสริมการปกครองท้องถิ่น</t>
  </si>
  <si>
    <t xml:space="preserve"> - โครงการก่อสร้างประปาหมู่บ้าน หมู่ที่ 6</t>
  </si>
  <si>
    <t xml:space="preserve"> - โครงการก่อสร้างประปาหมู่บ้าน หมู่ที่ 7</t>
  </si>
  <si>
    <t xml:space="preserve"> - โครงการปรับปรุงผิวจราจร หมู่ที่ 1</t>
  </si>
  <si>
    <t xml:space="preserve"> - โครงการซ่อมสร้างถนนสายบ้านน้ำฉา หมู่ที่ 8</t>
  </si>
  <si>
    <t xml:space="preserve"> - โครงการก่อสร้างประปาหมู่บ้าน หมู่ที่ 1</t>
  </si>
  <si>
    <t xml:space="preserve"> - โครงการก่อสร้างประปาหมู่บ้าน หมู่ที่ 11</t>
  </si>
  <si>
    <t xml:space="preserve"> - โครงการก่อสร้างอาคารศูนย์พัฒนาเด็กเล็ก(สถ.ศพด.3)</t>
  </si>
  <si>
    <r>
      <t xml:space="preserve"> - โครงการซ่อมสร้างถนนสายบ้านน้ำฉา หมู่ที่ 12</t>
    </r>
    <r>
      <rPr>
        <sz val="10"/>
        <color indexed="8"/>
        <rFont val="TH SarabunPSK"/>
        <family val="2"/>
      </rPr>
      <t xml:space="preserve"> (เงินเหลือจ่าย)</t>
    </r>
  </si>
  <si>
    <r>
      <t xml:space="preserve"> - โครงการซ่อมสร้างถนนสายบ้านน้ำฉา หมู่ที่ 12 </t>
    </r>
    <r>
      <rPr>
        <sz val="10"/>
        <color indexed="8"/>
        <rFont val="TH SarabunPSK"/>
        <family val="2"/>
      </rPr>
      <t>(เงินเหลือจ่าย)</t>
    </r>
  </si>
  <si>
    <t>รวมรับทั้งสิ้น</t>
  </si>
  <si>
    <t>รวมรับจนถึงปัจจุบัน</t>
  </si>
  <si>
    <t>องค์การบริหารส่วนตำบลเทพราช  อำเภอสิชล  จังหวัดนครศรีธรรมราช</t>
  </si>
  <si>
    <t>รายงานแสดงผลการดำเนินงาน (ด้านรายจ่าย)</t>
  </si>
  <si>
    <t xml:space="preserve">ไตรมาสที่ 4 ตั้งแต่เดือน กรกฎาคม - กันยายน 2559 </t>
  </si>
  <si>
    <t>ปีงบประมาณ พ.ศ.2559</t>
  </si>
  <si>
    <t>งาน</t>
  </si>
  <si>
    <t>หมวดรายจ่าย</t>
  </si>
  <si>
    <t>ประเภทรายจ่าย</t>
  </si>
  <si>
    <t>โครงการ</t>
  </si>
  <si>
    <t>งบประมาณอนุมัติ
(บาท)</t>
  </si>
  <si>
    <t>โอนเพิ่ม
(บาท)</t>
  </si>
  <si>
    <t>โอนลด
(บาท)</t>
  </si>
  <si>
    <t>เบิกจ่ายเดือนนี้</t>
  </si>
  <si>
    <t>เบิกจ่ายทั้งสิ้น
(บาท)</t>
  </si>
  <si>
    <t>งบประมาณคงเหลือ
(บาท)</t>
  </si>
  <si>
    <t>งานบริหารทั่วไป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</si>
  <si>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</si>
  <si>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</si>
  <si>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</si>
  <si>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</si>
  <si>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</si>
  <si>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</si>
  <si>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รวมหมวดเงินเดือน (ฝ่ายการเมือง)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</si>
  <si>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</si>
  <si>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</si>
  <si>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</si>
  <si>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</si>
  <si>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</si>
  <si>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เงินเพิ่มต่าง ๆของลูกจ้างประจำ</t>
  </si>
  <si>
    <t>ค่าตอบแทนพนักงานจ้าง</t>
  </si>
  <si>
    <t>เงินเพิ่มต่าง ๆของพนักงานจ้าง</t>
  </si>
  <si>
    <t>รวมหมวดเงินเดือน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</si>
  <si>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</si>
  <si>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</si>
  <si>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</si>
  <si>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</si>
  <si>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</si>
  <si>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รวมหมวดค่าตอบแทน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</si>
  <si>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</si>
  <si>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</si>
  <si>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</si>
  <si>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</si>
  <si>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ค่าใช้จ่ายในการเดินทางไปราชการ</t>
  </si>
  <si>
    <t>ค่าใช้จ่ายในการเลือกตั้ง</t>
  </si>
  <si>
    <t>ค่าพวงมาลัย  ช่อดอกไม้  กระเช้าดอกไม้  พวงมาลา</t>
  </si>
  <si>
    <t>โครงการเปิดประตูเศรษฐกิจตำบลเทพราชสู่ประชาคมอาเซียนประจำปี 2559</t>
  </si>
  <si>
    <t>โครงการฝึกอบรมเพื่อเสริมสร้างคุณธรรมจริยธรรม</t>
  </si>
  <si>
    <t>โครงการฝึกอบรมและทัศนศึกษาดูงานเพื่อพัฒนาบุคลากร</t>
  </si>
  <si>
    <t>ค่าบำรุงรักษาและซ่อมแซม</t>
  </si>
  <si>
    <t>รวมหมวดค่าใช้สอย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</si>
  <si>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</si>
  <si>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</si>
  <si>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</si>
  <si>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</si>
  <si>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</si>
  <si>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</si>
  <si>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</si>
  <si>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รวมหมวดค่าวัสดุ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</si>
  <si>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</si>
  <si>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</si>
  <si>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</si>
  <si>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</si>
  <si>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</si>
  <si>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รวมหมวดค่าสาธารณูปโภค</t>
  </si>
  <si>
    <t>ค่าครุภัณฑ์</t>
  </si>
  <si>
    <t>ครุภัณฑ์สำนักงาน</t>
  </si>
  <si>
    <t>ค่าจัดซื้อตู้เหล็กเก็บเอกสารบานเลื่อนกระจก</t>
  </si>
  <si>
    <t>ค่าจัดซื้อเก้าอี้ผู้บริหาร</t>
  </si>
  <si>
    <t>ค่าจัดซื้อโต๊ะทำงานพนักงานระดับ1-2พร้อมเก้าอี้</t>
  </si>
  <si>
    <t>ค่าจัดซื้อโต๊ะทำงานเหล็ก</t>
  </si>
  <si>
    <t>ค่าจัดซื้อโต๊ะทำงานพนักงาน ระดับ 3- 6</t>
  </si>
  <si>
    <t>ครุภัณฑ์งานบ้านงานครัว</t>
  </si>
  <si>
    <t>ค่าจัดซื้อมู่ลี่ปรับแสงพร้อมติดตั้งอาคารศูนย์พัฒนาคุณภาพชีวิตและส่งเสริมอาชีพผู้สูงอายุ</t>
  </si>
  <si>
    <t>ครุภัณฑ์คอมพิวเตอร์</t>
  </si>
  <si>
    <t>ค่าจัดซื้อเครื่องคอมพิวเตอร์ตั้งโต๊ะ</t>
  </si>
  <si>
    <t>ค่าจัดซื้อเครื่องพิมพ์แบบหมึกฉีด (INKJET Printer)</t>
  </si>
  <si>
    <t>ค่าจัดซื้อเครื่องสำรองไฟฟ้า</t>
  </si>
  <si>
    <t>ค่าบำรุงรักษาและปรับปรุงครุภัณฑ์</t>
  </si>
  <si>
    <t>รวมหมวดค่าครุภัณฑ์</t>
  </si>
  <si>
    <t>ค่าที่ดินและสิ่งก่อสร้าง</t>
  </si>
  <si>
    <t>ค่าก่อสร้างสิ่งสาธารณูปการ</t>
  </si>
  <si>
    <t>โครงการติดตั้งระบบหอกระจายข่าวแบบไร้สาย</t>
  </si>
  <si>
    <t>รวมหมวดค่าที่ดินและสิ่งก่อสร้าง</t>
  </si>
  <si>
    <t>รายจ่ายอื่น</t>
  </si>
  <si>
    <t>รวมหมวดรายจ่ายอื่น</t>
  </si>
  <si>
    <t>เงินอุดหนุน</t>
  </si>
  <si>
    <t>เงินอุดหนุนองค์กรปกครองส่วนท้องถิ่น</t>
  </si>
  <si>
    <t>รวมหมวดเงินอุดหนุน</t>
  </si>
  <si>
    <t>รวมงานบริหารทั่วไป</t>
  </si>
  <si>
    <t>งานบริหารงานคลัง</t>
  </si>
  <si>
    <t>โครงการจัดทำแผนที่ภาษีและทะเบียนทรัพย์สิน</t>
  </si>
  <si>
    <t>โครงการประชาสัมพันธ์การจัดเก็บภาษีของ อบต.เทพราช</t>
  </si>
  <si>
    <t>โครงการออกบริการจัดเก็บภาษีเคลื่อนที่ประจำปี</t>
  </si>
  <si>
    <t>รวมงานบริหารงานคลัง</t>
  </si>
  <si>
    <t>งานบริหารทั่วไปเกี่ยวกับการรักษาความสงบภายใน</t>
  </si>
  <si>
    <t>โครงการจัดหาเครื่องแต่งกายงานป้องกันและบรรเทาสาธารณภัย</t>
  </si>
  <si>
    <t>โครงการช่วยเหลือผู้ประสบสาธารณภัย</t>
  </si>
  <si>
    <t>โครงการป้องกัน  เฝ้าระวังและช่วยเหลือประชาชนในเหตุการณ์ต่างๆ</t>
  </si>
  <si>
    <t>โครงการป้องกันลดอุบัติเหตุในช่วงเทศกาลวันสำคัญ(7 วัน อันตราย  )</t>
  </si>
  <si>
    <t>โครงการฝึกอบรม  รณรงค์ และประชาสัมพันธ์การป้องกันไฟป่า</t>
  </si>
  <si>
    <t>รวมงานบริหารทั่วไปเกี่ยวกับการรักษาความสงบภายใน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</si>
  <si>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</si>
  <si>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ค่าใช้จ่ายในการพัฒนาครูผู้ดูแลเด็ก/ผู้ดูแลเด็กของศูนย์พัฒนาเด็กเล็ก</t>
  </si>
  <si>
    <t>ครุภัณฑ์โฆษณาและเผยแพร่</t>
  </si>
  <si>
    <t>ค่าจัดซื้อกล้องถ่ายภาพนิ่งระบบดิจิตอล</t>
  </si>
  <si>
    <t>ค่าจัดซื้อเครื่องคอมพิวเตอร์โน้ตบุ้ค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</si>
  <si>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</si>
  <si>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</si>
  <si>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โครงการส่งเสริมความเป็นเลิศของนักเรียน</t>
  </si>
  <si>
    <t>โครงการสนับสนุนค่าใช้จ่ายการบริหารสถานศึกษา</t>
  </si>
  <si>
    <t>ค่าอาหารเสริม (นม)</t>
  </si>
  <si>
    <t>เงินอุดหนุนส่วนราชการ</t>
  </si>
  <si>
    <t>รวมงานระดับก่อนวัยเรียนและประถมศึกษา</t>
  </si>
  <si>
    <t>งานบริการสาธารณสุขและงานสาธารณสุขอื่น</t>
  </si>
  <si>
    <t>โครงการป้องกันโรคพิษสุนัขบ้าและคุมกำเนิด(หมา , แมว)</t>
  </si>
  <si>
    <t>โครงการป้องกันและควบคุมโรคไข้เลือดออกในชุมชน</t>
  </si>
  <si>
    <t>วัสดุวิทยาศาสตร์หรือการแพทย์</t>
  </si>
  <si>
    <t>เงินอุดหนุนกิจการที่เป็นสาธารณประโยชน์</t>
  </si>
  <si>
    <t>รวมงานบริการสาธารณสุขและงานสาธารณสุขอื่น</t>
  </si>
  <si>
    <t>งานบริหารทั่วไปเกี่ยวกับเคหะและชุมชน</t>
  </si>
  <si>
    <t>วัสดุก่อสร้าง</t>
  </si>
  <si>
    <t>วัสดุยานพาหนะและขนส่ง</t>
  </si>
  <si>
    <t>ครุภัณฑ์ยานพาหนะและขนส่ง</t>
  </si>
  <si>
    <t>ค่าจัดซื้อรถบรรทุกขยะ  ขนาด 6 ตัน 6 ล้อ  แบบอัดท้าย</t>
  </si>
  <si>
    <t>ค่าจัดซื้อเครื่องฉีดน้ำแรงดันสูง</t>
  </si>
  <si>
    <t>ครุภัณฑ์สำรวจ</t>
  </si>
  <si>
    <t>ค่าจัดซื้อกล้องวัดมุมแบบอิเล็กทรอนิกส์</t>
  </si>
  <si>
    <t>ค่าจัดซื้อเทปวัดระยะทางสแตนเลส</t>
  </si>
  <si>
    <t>ค่าจัดซื้อเครื่องพิมพ์  Multifunction ชนิดเลเซอร์ /ชนิด LED สี</t>
  </si>
  <si>
    <t>ครุภัณฑ์อื่น</t>
  </si>
  <si>
    <t>ค่าจัดซื้อถังรองรับขยะมูลฝอยแบบพลาสติก</t>
  </si>
  <si>
    <t>ค่าจัดซื้อแบบเหล็กเทถนนคอนกรีต</t>
  </si>
  <si>
    <t>ค่าติดตั้งระบบไฟฟ้าและอุปกรณ์ซึ่งติดตั้งครั้งแรกในอาคารหรือสถานที่ราขการพร้อมก่อสร้างหรือภายหลังการก่อสร้าง</t>
  </si>
  <si>
    <t>โครงการปรับปรุงระบบไฟฟ้าภายในสำนักงาน อบต.เทพราช</t>
  </si>
  <si>
    <t>รวมงานบริหารทั่วไปเกี่ยวกับเคหะและชุมชน</t>
  </si>
  <si>
    <t>งานไฟฟ้าถนน</t>
  </si>
  <si>
    <t>ค่าก่อสร้างสิ่งสาธารณูปโภค</t>
  </si>
  <si>
    <t>โครงการก่อสร้างฐานรองถังขยะคอนกรีตเสริมเหล็ก</t>
  </si>
  <si>
    <t>รวมงานไฟฟ้าถนน</t>
  </si>
  <si>
    <t>งานส่งเสริมและสนับสนุนความเข้มแข็งชุมชน</t>
  </si>
  <si>
    <t>โครงการจัดเวทีประชาคม</t>
  </si>
  <si>
    <t>โครงการป้องกันและแก้ไขความรุนแรงต่อเด็ก  สตรีและบุคคลในครอบครัว</t>
  </si>
  <si>
    <t>โครงการป้องกันและแก้ไขปัญหายาเสพติดในสถานศึกษา</t>
  </si>
  <si>
    <t>โครงการฝึกอาชีพให้กับผู้พิการ  ผู้สูงอายุ  ผู้ด้อยโอกาสและผู้มีรายได้น้อย</t>
  </si>
  <si>
    <t>โครงการเสริมสร้างครอบครัวอบอุ่นเข้มแข็ง</t>
  </si>
  <si>
    <t>โครงการอบรมสร้างความปรองดองสมานฉันท์</t>
  </si>
  <si>
    <t>รวมงานส่งเสริมและสนับสนุนความเข้มแข็งชุมชน</t>
  </si>
  <si>
    <t>งานกีฬาและนันทนาการ</t>
  </si>
  <si>
    <t>กิจกรรมวันเด็กแห่งชาติ</t>
  </si>
  <si>
    <t>โครงการแข่งขันกีฬาเซปัคตะกร้อเขายวนเฒ่าคัพ</t>
  </si>
  <si>
    <t>โครงการแข่งขันกีฬาฟุตซอล</t>
  </si>
  <si>
    <t>โครงการจัดการแข่งขันกีฬาและกรีฑาระดับตำบล “เทพราชเกมส์”</t>
  </si>
  <si>
    <t>โครงการจัดส่งนักกีฬา/กรีฑาเข้าร่วมการแข่งขันกีฬาระดับอำเภอ อ.สิชล</t>
  </si>
  <si>
    <t>โครงการจัดส่งนักกีฬาเข้าร่วมการแข่งขันกีฬาฟุตบอลเทศบาลสิชลคัพ</t>
  </si>
  <si>
    <t>โครงการส่งนักกีฬาเข้าร่วมการแข่งขัน “กีฬาท้องถิ่นท้องที่สัมพันธ์”</t>
  </si>
  <si>
    <t>รวมงานกีฬาและนันทนาการ</t>
  </si>
  <si>
    <t>งานศาสนาวัฒนธรรมท้องถิ่น</t>
  </si>
  <si>
    <t>โครงการงานประเพณีชักพระ</t>
  </si>
  <si>
    <t>โครงการงานประเพณีลอยกระทง</t>
  </si>
  <si>
    <t>โครงการงานประเพณีสงกรานต์ (จัดกิจกรรมวันผู้สูงอายุ)</t>
  </si>
  <si>
    <t>โครงการปกป้องสถาบันสำคัญของชาติ</t>
  </si>
  <si>
    <t>โครงการแห่เทียนพรรษา</t>
  </si>
  <si>
    <t>รวมงานศาสนาวัฒนธรรมท้องถิ่น</t>
  </si>
  <si>
    <t>งานส่งเสริมการเกษตร</t>
  </si>
  <si>
    <t>โครงการปลูกต้นไม้  และปล่อยพันธุ์สัตว์น้ำ</t>
  </si>
  <si>
    <t>โครงการฝึกอบรมเพื่อส่งเสริมอาชีพตามหลักเศรษฐกิจพอเพียง</t>
  </si>
  <si>
    <t>วัสดุการเกษตร</t>
  </si>
  <si>
    <t>รวมงานส่งเสริมการเกษตร</t>
  </si>
  <si>
    <t>งบกลาง</t>
  </si>
  <si>
    <t>เงินสมทบกองทุนประกันสังคม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</si>
  <si>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</si>
  <si>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</si>
  <si>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</si>
  <si>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</si>
  <si>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รวมหมวดงบกลาง</t>
  </si>
  <si>
    <t>รวมงบกลาง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</si>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</sst>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0"/>
      <color indexed="8"/>
      <name val="TH SarabunPSK"/>
      <family val="2"/>
    </font>
    <font>
      <sz val="16"/>
      <color theme="1"/>
      <name val="TH SarabunPSK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charset val="1"/>
    </font>
    <font>
      <b/>
      <sz val="18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3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187" fontId="2" fillId="0" borderId="0" applyFont="0" applyFill="0" applyBorder="0" applyAlignment="0" applyProtection="0">
      <alignment wrapText="1"/>
    </xf>
    <xf numFmtId="187" fontId="2" fillId="0" borderId="0" applyFont="0" applyFill="0" applyBorder="0" applyAlignment="0" applyProtection="0">
      <alignment wrapText="1"/>
    </xf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2" fillId="0" borderId="0" applyFont="0" applyFill="0" applyBorder="0" applyAlignment="0" applyProtection="0">
      <alignment wrapText="1"/>
    </xf>
    <xf numFmtId="0" fontId="10" fillId="0" borderId="0"/>
    <xf numFmtId="0" fontId="2" fillId="0" borderId="0">
      <alignment wrapText="1"/>
    </xf>
    <xf numFmtId="0" fontId="1" fillId="0" borderId="0"/>
    <xf numFmtId="0" fontId="2" fillId="0" borderId="0"/>
    <xf numFmtId="0" fontId="1" fillId="0" borderId="0"/>
    <xf numFmtId="0" fontId="2" fillId="0" borderId="0"/>
    <xf numFmtId="0" fontId="12" fillId="0" borderId="0">
      <alignment wrapText="1"/>
    </xf>
    <xf numFmtId="187" fontId="12" fillId="0" borderId="0" applyFont="0" applyFill="0" applyBorder="0" applyAlignment="0" applyProtection="0">
      <alignment wrapText="1"/>
    </xf>
  </cellStyleXfs>
  <cellXfs count="61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0" xfId="1" applyFont="1" applyFill="1">
      <alignment wrapText="1"/>
    </xf>
    <xf numFmtId="0" fontId="3" fillId="0" borderId="3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center" vertical="top" wrapText="1"/>
    </xf>
    <xf numFmtId="187" fontId="5" fillId="0" borderId="2" xfId="2" applyFont="1" applyFill="1" applyBorder="1" applyAlignment="1">
      <alignment horizontal="right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187" fontId="3" fillId="0" borderId="2" xfId="2" applyFont="1" applyFill="1" applyBorder="1" applyAlignment="1">
      <alignment horizontal="right" vertical="top" wrapText="1"/>
    </xf>
    <xf numFmtId="0" fontId="3" fillId="0" borderId="2" xfId="1" applyFont="1" applyFill="1" applyBorder="1" applyAlignment="1">
      <alignment vertical="top" wrapText="1"/>
    </xf>
    <xf numFmtId="0" fontId="4" fillId="0" borderId="0" xfId="1" applyFont="1" applyAlignment="1">
      <alignment horizontal="center" wrapText="1"/>
    </xf>
    <xf numFmtId="0" fontId="7" fillId="0" borderId="0" xfId="1" applyFont="1" applyAlignment="1"/>
    <xf numFmtId="43" fontId="7" fillId="0" borderId="0" xfId="1" applyNumberFormat="1" applyFont="1" applyAlignment="1"/>
    <xf numFmtId="0" fontId="4" fillId="0" borderId="0" xfId="1" applyFont="1" applyBorder="1">
      <alignment wrapText="1"/>
    </xf>
    <xf numFmtId="0" fontId="13" fillId="0" borderId="0" xfId="14" applyFont="1" applyFill="1" applyBorder="1" applyAlignment="1">
      <alignment horizontal="center" vertical="center" wrapText="1"/>
    </xf>
    <xf numFmtId="0" fontId="14" fillId="0" borderId="0" xfId="14" applyFont="1" applyFill="1" applyBorder="1" applyAlignment="1">
      <alignment horizontal="center" vertical="center" wrapText="1"/>
    </xf>
    <xf numFmtId="0" fontId="14" fillId="0" borderId="0" xfId="14" applyFont="1" applyFill="1" applyAlignment="1">
      <alignment horizontal="center" vertical="center" wrapText="1"/>
    </xf>
    <xf numFmtId="0" fontId="15" fillId="0" borderId="0" xfId="14" applyFont="1">
      <alignment wrapText="1"/>
    </xf>
    <xf numFmtId="0" fontId="16" fillId="0" borderId="0" xfId="14" applyFont="1" applyFill="1" applyBorder="1" applyAlignment="1">
      <alignment horizontal="center" vertical="center" wrapText="1"/>
    </xf>
    <xf numFmtId="0" fontId="13" fillId="0" borderId="1" xfId="14" applyFont="1" applyFill="1" applyBorder="1" applyAlignment="1">
      <alignment horizontal="center" vertical="center" wrapText="1"/>
    </xf>
    <xf numFmtId="0" fontId="14" fillId="2" borderId="4" xfId="14" applyFont="1" applyFill="1" applyBorder="1" applyAlignment="1">
      <alignment horizontal="center" vertical="center" wrapText="1"/>
    </xf>
    <xf numFmtId="0" fontId="17" fillId="2" borderId="4" xfId="14" applyFont="1" applyFill="1" applyBorder="1" applyAlignment="1">
      <alignment horizontal="center" vertical="center" wrapText="1"/>
    </xf>
    <xf numFmtId="0" fontId="18" fillId="2" borderId="4" xfId="14" applyFont="1" applyFill="1" applyBorder="1" applyAlignment="1">
      <alignment horizontal="center" vertical="center" wrapText="1"/>
    </xf>
    <xf numFmtId="187" fontId="14" fillId="2" borderId="4" xfId="15" applyFont="1" applyFill="1" applyBorder="1" applyAlignment="1">
      <alignment horizontal="center" vertical="center" wrapText="1"/>
    </xf>
    <xf numFmtId="187" fontId="19" fillId="2" borderId="4" xfId="15" applyFont="1" applyFill="1" applyBorder="1" applyAlignment="1">
      <alignment horizontal="center" vertical="center" wrapText="1"/>
    </xf>
    <xf numFmtId="0" fontId="15" fillId="0" borderId="0" xfId="14" applyFont="1" applyAlignment="1">
      <alignment horizontal="center" wrapText="1"/>
    </xf>
    <xf numFmtId="0" fontId="16" fillId="0" borderId="4" xfId="14" applyFont="1" applyFill="1" applyBorder="1" applyAlignment="1">
      <alignment horizontal="left" vertical="top" wrapText="1"/>
    </xf>
    <xf numFmtId="0" fontId="16" fillId="0" borderId="4" xfId="14" applyFont="1" applyFill="1" applyBorder="1" applyAlignment="1">
      <alignment vertical="top" wrapText="1"/>
    </xf>
    <xf numFmtId="0" fontId="20" fillId="0" borderId="4" xfId="14" applyFont="1" applyFill="1" applyBorder="1" applyAlignment="1">
      <alignment vertical="top" wrapText="1"/>
    </xf>
    <xf numFmtId="0" fontId="21" fillId="0" borderId="4" xfId="14" applyFont="1" applyFill="1" applyBorder="1" applyAlignment="1">
      <alignment vertical="top" wrapText="1"/>
    </xf>
    <xf numFmtId="187" fontId="16" fillId="0" borderId="4" xfId="15" applyFont="1" applyFill="1" applyBorder="1" applyAlignment="1">
      <alignment horizontal="left" vertical="top" wrapText="1"/>
    </xf>
    <xf numFmtId="187" fontId="15" fillId="0" borderId="4" xfId="15" applyFont="1" applyFill="1" applyBorder="1" applyAlignment="1">
      <alignment horizontal="left" vertical="top" wrapText="1"/>
    </xf>
    <xf numFmtId="0" fontId="14" fillId="0" borderId="4" xfId="14" applyFont="1" applyFill="1" applyBorder="1" applyAlignment="1">
      <alignment horizontal="center" vertical="center" wrapText="1"/>
    </xf>
    <xf numFmtId="187" fontId="14" fillId="0" borderId="4" xfId="15" applyFont="1" applyFill="1" applyBorder="1" applyAlignment="1">
      <alignment horizontal="left" vertical="top" wrapText="1"/>
    </xf>
    <xf numFmtId="0" fontId="22" fillId="0" borderId="4" xfId="14" applyFont="1" applyFill="1" applyBorder="1" applyAlignment="1">
      <alignment horizontal="left" vertical="top" wrapText="1"/>
    </xf>
    <xf numFmtId="0" fontId="23" fillId="0" borderId="4" xfId="14" applyFont="1" applyFill="1" applyBorder="1" applyAlignment="1">
      <alignment vertical="top" wrapText="1"/>
    </xf>
    <xf numFmtId="0" fontId="14" fillId="0" borderId="5" xfId="14" applyFont="1" applyFill="1" applyBorder="1" applyAlignment="1">
      <alignment horizontal="center" vertical="top" wrapText="1"/>
    </xf>
    <xf numFmtId="0" fontId="14" fillId="0" borderId="5" xfId="14" applyFont="1" applyFill="1" applyBorder="1" applyAlignment="1">
      <alignment horizontal="right" vertical="top" wrapText="1"/>
    </xf>
    <xf numFmtId="0" fontId="17" fillId="0" borderId="5" xfId="14" applyFont="1" applyFill="1" applyBorder="1" applyAlignment="1">
      <alignment horizontal="right" vertical="top" wrapText="1"/>
    </xf>
    <xf numFmtId="0" fontId="18" fillId="0" borderId="5" xfId="14" applyFont="1" applyFill="1" applyBorder="1" applyAlignment="1">
      <alignment horizontal="right" vertical="top" wrapText="1"/>
    </xf>
    <xf numFmtId="187" fontId="14" fillId="0" borderId="5" xfId="15" applyFont="1" applyFill="1" applyBorder="1" applyAlignment="1">
      <alignment horizontal="left" vertical="top" wrapText="1"/>
    </xf>
    <xf numFmtId="0" fontId="15" fillId="0" borderId="0" xfId="14" applyFont="1" applyBorder="1">
      <alignment wrapText="1"/>
    </xf>
    <xf numFmtId="0" fontId="14" fillId="0" borderId="4" xfId="14" applyFont="1" applyFill="1" applyBorder="1" applyAlignment="1">
      <alignment horizontal="center" vertical="top" wrapText="1"/>
    </xf>
    <xf numFmtId="0" fontId="14" fillId="0" borderId="5" xfId="14" applyFont="1" applyFill="1" applyBorder="1" applyAlignment="1">
      <alignment horizontal="center" vertical="center" wrapText="1"/>
    </xf>
    <xf numFmtId="187" fontId="14" fillId="0" borderId="0" xfId="15" applyFont="1" applyFill="1" applyBorder="1" applyAlignment="1">
      <alignment horizontal="left" vertical="top" wrapText="1"/>
    </xf>
    <xf numFmtId="0" fontId="14" fillId="0" borderId="4" xfId="14" applyFont="1" applyFill="1" applyBorder="1" applyAlignment="1">
      <alignment horizontal="center" wrapText="1"/>
    </xf>
    <xf numFmtId="187" fontId="14" fillId="0" borderId="4" xfId="15" applyFont="1" applyFill="1" applyBorder="1" applyAlignment="1">
      <alignment horizontal="left" wrapText="1"/>
    </xf>
    <xf numFmtId="0" fontId="14" fillId="0" borderId="0" xfId="14" applyFont="1" applyFill="1" applyAlignment="1">
      <alignment horizontal="center" wrapText="1"/>
    </xf>
    <xf numFmtId="0" fontId="14" fillId="0" borderId="0" xfId="14" applyFont="1" applyFill="1" applyBorder="1" applyAlignment="1">
      <alignment horizontal="center" wrapText="1"/>
    </xf>
    <xf numFmtId="0" fontId="15" fillId="0" borderId="0" xfId="14" applyFont="1" applyAlignment="1">
      <alignment wrapText="1"/>
    </xf>
    <xf numFmtId="0" fontId="24" fillId="0" borderId="4" xfId="14" applyFont="1" applyFill="1" applyBorder="1" applyAlignment="1">
      <alignment horizontal="left" vertical="top" wrapText="1"/>
    </xf>
    <xf numFmtId="0" fontId="15" fillId="0" borderId="0" xfId="14" applyFont="1" applyAlignment="1">
      <alignment horizontal="left" wrapText="1"/>
    </xf>
    <xf numFmtId="0" fontId="21" fillId="0" borderId="0" xfId="14" applyFont="1" applyAlignment="1">
      <alignment wrapText="1"/>
    </xf>
    <xf numFmtId="0" fontId="21" fillId="0" borderId="0" xfId="14" applyFont="1">
      <alignment wrapText="1"/>
    </xf>
    <xf numFmtId="187" fontId="15" fillId="0" borderId="0" xfId="15" applyFont="1" applyAlignment="1">
      <alignment horizontal="left" wrapText="1"/>
    </xf>
  </cellXfs>
  <cellStyles count="16">
    <cellStyle name="Comma 2" xfId="15"/>
    <cellStyle name="Normal" xfId="0" builtinId="0"/>
    <cellStyle name="Normal 2" xfId="14"/>
    <cellStyle name="เครื่องหมายจุลภาค 2" xfId="3"/>
    <cellStyle name="เครื่องหมายจุลภาค 3" xfId="4"/>
    <cellStyle name="เครื่องหมายจุลภาค 4" xfId="2"/>
    <cellStyle name="เครื่องหมายจุลภาค 5" xfId="5"/>
    <cellStyle name="เครื่องหมายจุลภาค 6" xfId="6"/>
    <cellStyle name="เครื่องหมายจุลภาค 7" xfId="7"/>
    <cellStyle name="ปกติ 2" xfId="8"/>
    <cellStyle name="ปกติ 3" xfId="9"/>
    <cellStyle name="ปกติ 4" xfId="10"/>
    <cellStyle name="ปกติ 5" xfId="11"/>
    <cellStyle name="ปกติ 5 2" xfId="12"/>
    <cellStyle name="ปกติ 6" xfId="1"/>
    <cellStyle name="ปกติ_เหตุ 2 5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E66"/>
  <sheetViews>
    <sheetView showGridLines="0" tabSelected="1" workbookViewId="0">
      <selection activeCell="F64" sqref="F64"/>
    </sheetView>
  </sheetViews>
  <sheetFormatPr defaultRowHeight="21" x14ac:dyDescent="0.35"/>
  <cols>
    <col min="1" max="1" width="42" style="2" customWidth="1"/>
    <col min="2" max="2" width="7.5" style="16" bestFit="1" customWidth="1"/>
    <col min="3" max="4" width="13.75" style="2" bestFit="1" customWidth="1"/>
    <col min="5" max="5" width="12.625" style="2" bestFit="1" customWidth="1"/>
    <col min="6" max="16384" width="9" style="2"/>
  </cols>
  <sheetData>
    <row r="1" spans="1:5" ht="22.5" customHeight="1" x14ac:dyDescent="0.35">
      <c r="A1" s="1" t="s">
        <v>0</v>
      </c>
      <c r="B1" s="1"/>
      <c r="C1" s="1"/>
      <c r="D1" s="1"/>
      <c r="E1" s="1"/>
    </row>
    <row r="2" spans="1:5" ht="20.25" customHeight="1" x14ac:dyDescent="0.35">
      <c r="A2" s="1" t="s">
        <v>1</v>
      </c>
      <c r="B2" s="1"/>
      <c r="C2" s="1"/>
      <c r="D2" s="1"/>
      <c r="E2" s="1"/>
    </row>
    <row r="3" spans="1:5" ht="20.25" customHeight="1" x14ac:dyDescent="0.35">
      <c r="A3" s="1" t="s">
        <v>2</v>
      </c>
      <c r="B3" s="1"/>
      <c r="C3" s="1"/>
      <c r="D3" s="1"/>
      <c r="E3" s="1"/>
    </row>
    <row r="4" spans="1:5" ht="22.5" customHeight="1" thickBot="1" x14ac:dyDescent="0.4">
      <c r="A4" s="3" t="s">
        <v>3</v>
      </c>
      <c r="B4" s="3"/>
      <c r="C4" s="3"/>
      <c r="D4" s="3"/>
      <c r="E4" s="3"/>
    </row>
    <row r="5" spans="1:5" ht="21.75" thickBot="1" x14ac:dyDescent="0.4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s="7" customFormat="1" ht="21.75" thickBot="1" x14ac:dyDescent="0.4">
      <c r="A6" s="5" t="s">
        <v>9</v>
      </c>
      <c r="B6" s="6">
        <v>410000</v>
      </c>
      <c r="C6" s="6"/>
      <c r="D6" s="6"/>
      <c r="E6" s="6"/>
    </row>
    <row r="7" spans="1:5" s="7" customFormat="1" ht="21.75" thickBot="1" x14ac:dyDescent="0.4">
      <c r="A7" s="8" t="s">
        <v>10</v>
      </c>
      <c r="B7" s="6">
        <v>411000</v>
      </c>
      <c r="C7" s="6"/>
      <c r="D7" s="6"/>
      <c r="E7" s="6"/>
    </row>
    <row r="8" spans="1:5" ht="21.75" thickBot="1" x14ac:dyDescent="0.4">
      <c r="A8" s="9" t="s">
        <v>11</v>
      </c>
      <c r="B8" s="10">
        <v>411001</v>
      </c>
      <c r="C8" s="11">
        <v>50000</v>
      </c>
      <c r="D8" s="11">
        <f>E8+13992.5+46274.31+20596.27+6790+322+528+3136</f>
        <v>91639.08</v>
      </c>
      <c r="E8" s="11">
        <v>0</v>
      </c>
    </row>
    <row r="9" spans="1:5" ht="21.75" thickBot="1" x14ac:dyDescent="0.4">
      <c r="A9" s="9" t="s">
        <v>12</v>
      </c>
      <c r="B9" s="10">
        <v>411002</v>
      </c>
      <c r="C9" s="11">
        <v>60000</v>
      </c>
      <c r="D9" s="11">
        <f>E9+5865.28+5484.86+3320.23+13070.81+8130.06+1436.32+837.54+1542.54+6756.72</f>
        <v>55225.84</v>
      </c>
      <c r="E9" s="11">
        <f>2035.1+6746.38</f>
        <v>8781.48</v>
      </c>
    </row>
    <row r="10" spans="1:5" ht="21.75" thickBot="1" x14ac:dyDescent="0.4">
      <c r="A10" s="9" t="s">
        <v>13</v>
      </c>
      <c r="B10" s="10">
        <v>411003</v>
      </c>
      <c r="C10" s="11">
        <v>5000</v>
      </c>
      <c r="D10" s="11">
        <f>E10+8200+200+214+432</f>
        <v>9046</v>
      </c>
      <c r="E10" s="11">
        <v>0</v>
      </c>
    </row>
    <row r="11" spans="1:5" ht="21.75" thickBot="1" x14ac:dyDescent="0.4">
      <c r="A11" s="12" t="s">
        <v>14</v>
      </c>
      <c r="B11" s="13"/>
      <c r="C11" s="14">
        <f>SUM(C8:C10)</f>
        <v>115000</v>
      </c>
      <c r="D11" s="14">
        <f>SUM(D8:D10)</f>
        <v>155910.91999999998</v>
      </c>
      <c r="E11" s="14">
        <f>SUM(E8:E10)</f>
        <v>8781.48</v>
      </c>
    </row>
    <row r="12" spans="1:5" ht="22.5" customHeight="1" thickBot="1" x14ac:dyDescent="0.4">
      <c r="A12" s="8" t="s">
        <v>15</v>
      </c>
      <c r="B12" s="13">
        <v>412000</v>
      </c>
      <c r="C12" s="14"/>
      <c r="D12" s="14"/>
      <c r="E12" s="14"/>
    </row>
    <row r="13" spans="1:5" ht="21.75" customHeight="1" thickBot="1" x14ac:dyDescent="0.4">
      <c r="A13" s="9" t="s">
        <v>16</v>
      </c>
      <c r="B13" s="10">
        <v>412103</v>
      </c>
      <c r="C13" s="11">
        <v>1500</v>
      </c>
      <c r="D13" s="11">
        <f>E13+38.8+814.8+252.2+19.4</f>
        <v>1144.6000000000001</v>
      </c>
      <c r="E13" s="11">
        <v>19.399999999999999</v>
      </c>
    </row>
    <row r="14" spans="1:5" ht="21.75" customHeight="1" thickBot="1" x14ac:dyDescent="0.4">
      <c r="A14" s="9" t="s">
        <v>17</v>
      </c>
      <c r="B14" s="10">
        <v>412104</v>
      </c>
      <c r="C14" s="11">
        <v>1000</v>
      </c>
      <c r="D14" s="11">
        <f>E14</f>
        <v>0</v>
      </c>
      <c r="E14" s="11">
        <v>0</v>
      </c>
    </row>
    <row r="15" spans="1:5" ht="21.75" customHeight="1" thickBot="1" x14ac:dyDescent="0.4">
      <c r="A15" s="9" t="s">
        <v>18</v>
      </c>
      <c r="B15" s="10">
        <v>412106</v>
      </c>
      <c r="C15" s="11">
        <v>1000</v>
      </c>
      <c r="D15" s="11">
        <f>E15+1024.97+134+54+63+36+32.25+1709</f>
        <v>3053.2200000000003</v>
      </c>
      <c r="E15" s="11">
        <v>0</v>
      </c>
    </row>
    <row r="16" spans="1:5" ht="21.75" customHeight="1" thickBot="1" x14ac:dyDescent="0.4">
      <c r="A16" s="9" t="s">
        <v>19</v>
      </c>
      <c r="B16" s="10">
        <v>412128</v>
      </c>
      <c r="C16" s="11">
        <v>1000</v>
      </c>
      <c r="D16" s="11">
        <f>E16+100+50+140+70+50+100+20</f>
        <v>530</v>
      </c>
      <c r="E16" s="11">
        <v>0</v>
      </c>
    </row>
    <row r="17" spans="1:5" ht="21.75" thickBot="1" x14ac:dyDescent="0.4">
      <c r="A17" s="9" t="s">
        <v>20</v>
      </c>
      <c r="B17" s="10">
        <v>412210</v>
      </c>
      <c r="C17" s="11">
        <v>35000</v>
      </c>
      <c r="D17" s="11">
        <f>E17+76100-76100</f>
        <v>0</v>
      </c>
      <c r="E17" s="11">
        <v>0</v>
      </c>
    </row>
    <row r="18" spans="1:5" ht="44.25" customHeight="1" thickBot="1" x14ac:dyDescent="0.4">
      <c r="A18" s="9" t="s">
        <v>21</v>
      </c>
      <c r="B18" s="10">
        <v>412303</v>
      </c>
      <c r="C18" s="11">
        <v>1000</v>
      </c>
      <c r="D18" s="11">
        <f>E18+600+500+200</f>
        <v>1300</v>
      </c>
      <c r="E18" s="11">
        <v>0</v>
      </c>
    </row>
    <row r="19" spans="1:5" ht="21.75" customHeight="1" thickBot="1" x14ac:dyDescent="0.4">
      <c r="A19" s="9" t="s">
        <v>22</v>
      </c>
      <c r="B19" s="10">
        <v>412307</v>
      </c>
      <c r="C19" s="11">
        <v>500</v>
      </c>
      <c r="D19" s="11">
        <f>E19+80+20+20+20+20+20+20</f>
        <v>200</v>
      </c>
      <c r="E19" s="11">
        <v>0</v>
      </c>
    </row>
    <row r="20" spans="1:5" ht="21.75" thickBot="1" x14ac:dyDescent="0.4">
      <c r="A20" s="12" t="s">
        <v>14</v>
      </c>
      <c r="B20" s="13"/>
      <c r="C20" s="14">
        <f>SUM(C13:C19)</f>
        <v>41000</v>
      </c>
      <c r="D20" s="14">
        <f>SUM(D13:D19)</f>
        <v>6227.8200000000006</v>
      </c>
      <c r="E20" s="14">
        <f>SUM(E13:E19)</f>
        <v>19.399999999999999</v>
      </c>
    </row>
    <row r="21" spans="1:5" ht="21.75" thickBot="1" x14ac:dyDescent="0.4">
      <c r="A21" s="15" t="s">
        <v>23</v>
      </c>
      <c r="B21" s="13">
        <v>413000</v>
      </c>
      <c r="C21" s="14"/>
      <c r="D21" s="14"/>
      <c r="E21" s="14"/>
    </row>
    <row r="22" spans="1:5" ht="21.75" thickBot="1" x14ac:dyDescent="0.4">
      <c r="A22" s="9" t="s">
        <v>24</v>
      </c>
      <c r="B22" s="10">
        <v>413003</v>
      </c>
      <c r="C22" s="11">
        <v>150000</v>
      </c>
      <c r="D22" s="11">
        <f>E22+31973.17+9973.47+31364.47</f>
        <v>81514.44</v>
      </c>
      <c r="E22" s="11">
        <v>8203.33</v>
      </c>
    </row>
    <row r="23" spans="1:5" ht="21.75" customHeight="1" thickBot="1" x14ac:dyDescent="0.4">
      <c r="A23" s="12" t="s">
        <v>14</v>
      </c>
      <c r="B23" s="13"/>
      <c r="C23" s="14">
        <v>150000</v>
      </c>
      <c r="D23" s="14">
        <f>D22</f>
        <v>81514.44</v>
      </c>
      <c r="E23" s="14">
        <f>E22</f>
        <v>8203.33</v>
      </c>
    </row>
    <row r="24" spans="1:5" ht="21.75" customHeight="1" thickBot="1" x14ac:dyDescent="0.4">
      <c r="A24" s="15" t="s">
        <v>25</v>
      </c>
      <c r="B24" s="13">
        <v>415000</v>
      </c>
      <c r="C24" s="14"/>
      <c r="D24" s="14"/>
      <c r="E24" s="14"/>
    </row>
    <row r="25" spans="1:5" ht="21.75" thickBot="1" x14ac:dyDescent="0.4">
      <c r="A25" s="9" t="s">
        <v>26</v>
      </c>
      <c r="B25" s="10">
        <v>415004</v>
      </c>
      <c r="C25" s="11">
        <v>100000</v>
      </c>
      <c r="D25" s="11">
        <f>E25+65000+6000+3000</f>
        <v>74000</v>
      </c>
      <c r="E25" s="11">
        <v>0</v>
      </c>
    </row>
    <row r="26" spans="1:5" ht="21.75" thickBot="1" x14ac:dyDescent="0.4">
      <c r="A26" s="9" t="s">
        <v>27</v>
      </c>
      <c r="B26" s="10">
        <v>415999</v>
      </c>
      <c r="C26" s="11">
        <v>20000</v>
      </c>
      <c r="D26" s="11">
        <f>E26+2400+1000+0.01</f>
        <v>3400.0200000000004</v>
      </c>
      <c r="E26" s="11">
        <v>0.01</v>
      </c>
    </row>
    <row r="27" spans="1:5" ht="21.75" thickBot="1" x14ac:dyDescent="0.4">
      <c r="A27" s="12" t="s">
        <v>14</v>
      </c>
      <c r="B27" s="13"/>
      <c r="C27" s="14">
        <f>SUM(C25:C26)</f>
        <v>120000</v>
      </c>
      <c r="D27" s="14">
        <f>SUM(D25:D26)</f>
        <v>77400.02</v>
      </c>
      <c r="E27" s="14">
        <f>SUM(E25:E26)</f>
        <v>0.01</v>
      </c>
    </row>
    <row r="28" spans="1:5" ht="23.25" customHeight="1" thickBot="1" x14ac:dyDescent="0.4">
      <c r="A28" s="8" t="s">
        <v>28</v>
      </c>
      <c r="B28" s="13">
        <v>420000</v>
      </c>
      <c r="C28" s="14"/>
      <c r="D28" s="14"/>
      <c r="E28" s="14"/>
    </row>
    <row r="29" spans="1:5" ht="21.75" thickBot="1" x14ac:dyDescent="0.4">
      <c r="A29" s="15" t="s">
        <v>29</v>
      </c>
      <c r="B29" s="13">
        <v>421000</v>
      </c>
      <c r="C29" s="14"/>
      <c r="D29" s="14"/>
      <c r="E29" s="14"/>
    </row>
    <row r="30" spans="1:5" ht="21.75" customHeight="1" thickBot="1" x14ac:dyDescent="0.4">
      <c r="A30" s="9" t="s">
        <v>30</v>
      </c>
      <c r="B30" s="10">
        <v>421001</v>
      </c>
      <c r="C30" s="11">
        <v>754000</v>
      </c>
      <c r="D30" s="11">
        <f>E30+133131.2+5839.93+51075+28587.74+23425.93+29705.17+28450.9+22384.12</f>
        <v>348968.72000000003</v>
      </c>
      <c r="E30" s="11">
        <v>26368.73</v>
      </c>
    </row>
    <row r="31" spans="1:5" ht="21.75" customHeight="1" thickBot="1" x14ac:dyDescent="0.4">
      <c r="A31" s="9" t="s">
        <v>31</v>
      </c>
      <c r="B31" s="10">
        <v>421002</v>
      </c>
      <c r="C31" s="11">
        <v>8517000</v>
      </c>
      <c r="D31" s="11">
        <f>E31+1950194.93+632675.28+700864.83+701789.26+1304188.29+651806.41+721768.05+659885.13</f>
        <v>8020156.2999999998</v>
      </c>
      <c r="E31" s="11">
        <v>696984.12</v>
      </c>
    </row>
    <row r="32" spans="1:5" ht="21.75" customHeight="1" thickBot="1" x14ac:dyDescent="0.4">
      <c r="A32" s="9" t="s">
        <v>32</v>
      </c>
      <c r="B32" s="10">
        <v>421004</v>
      </c>
      <c r="C32" s="11">
        <v>3300000</v>
      </c>
      <c r="D32" s="11">
        <f>E32+763630.03+261862.94+255017.28+287631.91+524246.49+297078.97+250571.84+268106.67</f>
        <v>3184990.21</v>
      </c>
      <c r="E32" s="11">
        <v>276844.08</v>
      </c>
    </row>
    <row r="33" spans="1:5" ht="21.75" thickBot="1" x14ac:dyDescent="0.4">
      <c r="A33" s="9" t="s">
        <v>33</v>
      </c>
      <c r="B33" s="10">
        <v>421005</v>
      </c>
      <c r="C33" s="11">
        <v>200000</v>
      </c>
      <c r="D33" s="11">
        <f>E33+27776.32+33773.48</f>
        <v>124409.5</v>
      </c>
      <c r="E33" s="11">
        <v>62859.7</v>
      </c>
    </row>
    <row r="34" spans="1:5" ht="21.75" thickBot="1" x14ac:dyDescent="0.4">
      <c r="A34" s="9" t="s">
        <v>34</v>
      </c>
      <c r="B34" s="10">
        <v>421006</v>
      </c>
      <c r="C34" s="11">
        <v>2500000</v>
      </c>
      <c r="D34" s="11">
        <f>E34+366729.04+159862.18+142550.64+154804.09+321726.24+145610.09+104095.28+106038.93</f>
        <v>1627208.95</v>
      </c>
      <c r="E34" s="11">
        <v>125792.46</v>
      </c>
    </row>
    <row r="35" spans="1:5" ht="21.75" thickBot="1" x14ac:dyDescent="0.4">
      <c r="A35" s="4" t="s">
        <v>4</v>
      </c>
      <c r="B35" s="4" t="s">
        <v>5</v>
      </c>
      <c r="C35" s="4" t="s">
        <v>6</v>
      </c>
      <c r="D35" s="4" t="s">
        <v>35</v>
      </c>
      <c r="E35" s="4" t="s">
        <v>35</v>
      </c>
    </row>
    <row r="36" spans="1:5" ht="21.75" thickBot="1" x14ac:dyDescent="0.4">
      <c r="A36" s="9" t="s">
        <v>36</v>
      </c>
      <c r="B36" s="10">
        <v>421007</v>
      </c>
      <c r="C36" s="11">
        <v>3500000</v>
      </c>
      <c r="D36" s="11">
        <f>E36+748919.37+292961.96+343039.53+264174.37+606069.19+336102.31+295519.3+293963.01</f>
        <v>3500139.8499999996</v>
      </c>
      <c r="E36" s="11">
        <v>319390.81</v>
      </c>
    </row>
    <row r="37" spans="1:5" ht="21.75" thickBot="1" x14ac:dyDescent="0.4">
      <c r="A37" s="9" t="s">
        <v>37</v>
      </c>
      <c r="B37" s="10">
        <v>421012</v>
      </c>
      <c r="C37" s="11">
        <v>150000</v>
      </c>
      <c r="D37" s="11">
        <f>E37+29519.88+37506.67+47306.2</f>
        <v>155098.29999999999</v>
      </c>
      <c r="E37" s="11">
        <v>40765.550000000003</v>
      </c>
    </row>
    <row r="38" spans="1:5" ht="21.75" thickBot="1" x14ac:dyDescent="0.4">
      <c r="A38" s="9" t="s">
        <v>38</v>
      </c>
      <c r="B38" s="10">
        <v>421013</v>
      </c>
      <c r="C38" s="11">
        <v>120000</v>
      </c>
      <c r="D38" s="11">
        <f>E38+16473.87+15934.48+12147.14+10905.49</f>
        <v>55460.979999999996</v>
      </c>
      <c r="E38" s="11">
        <v>0</v>
      </c>
    </row>
    <row r="39" spans="1:5" ht="21.75" customHeight="1" thickBot="1" x14ac:dyDescent="0.4">
      <c r="A39" s="9" t="s">
        <v>39</v>
      </c>
      <c r="B39" s="10">
        <v>421014</v>
      </c>
      <c r="C39" s="11">
        <v>5000</v>
      </c>
      <c r="D39" s="11">
        <f>E39+1205.57</f>
        <v>1205.57</v>
      </c>
      <c r="E39" s="11">
        <v>0</v>
      </c>
    </row>
    <row r="40" spans="1:5" ht="21.75" customHeight="1" thickBot="1" x14ac:dyDescent="0.4">
      <c r="A40" s="9" t="s">
        <v>40</v>
      </c>
      <c r="B40" s="10">
        <v>421011</v>
      </c>
      <c r="C40" s="11"/>
      <c r="D40" s="11">
        <f>E40+6+6</f>
        <v>12</v>
      </c>
      <c r="E40" s="11">
        <v>0</v>
      </c>
    </row>
    <row r="41" spans="1:5" ht="43.5" customHeight="1" thickBot="1" x14ac:dyDescent="0.4">
      <c r="A41" s="9" t="s">
        <v>41</v>
      </c>
      <c r="B41" s="10">
        <v>421015</v>
      </c>
      <c r="C41" s="11">
        <v>450000</v>
      </c>
      <c r="D41" s="11">
        <f>E41+126870+14889+48219+10806+45095+32727+57877+67018+25794</f>
        <v>473558</v>
      </c>
      <c r="E41" s="11">
        <v>44263</v>
      </c>
    </row>
    <row r="42" spans="1:5" ht="25.5" customHeight="1" thickBot="1" x14ac:dyDescent="0.4">
      <c r="A42" s="12" t="s">
        <v>14</v>
      </c>
      <c r="B42" s="13"/>
      <c r="C42" s="14">
        <f>SUM(C30:C41)</f>
        <v>19496000</v>
      </c>
      <c r="D42" s="14">
        <f>SUM(D30:D41)</f>
        <v>17491208.380000003</v>
      </c>
      <c r="E42" s="14">
        <f>SUM(E30:E41)</f>
        <v>1593268.45</v>
      </c>
    </row>
    <row r="43" spans="1:5" ht="21.75" thickBot="1" x14ac:dyDescent="0.4">
      <c r="A43" s="8" t="s">
        <v>42</v>
      </c>
      <c r="B43" s="13">
        <v>430000</v>
      </c>
      <c r="C43" s="14"/>
      <c r="D43" s="14"/>
      <c r="E43" s="14"/>
    </row>
    <row r="44" spans="1:5" ht="21.75" thickBot="1" x14ac:dyDescent="0.4">
      <c r="A44" s="15" t="s">
        <v>43</v>
      </c>
      <c r="B44" s="13">
        <v>431000</v>
      </c>
      <c r="C44" s="14"/>
      <c r="D44" s="14"/>
      <c r="E44" s="14"/>
    </row>
    <row r="45" spans="1:5" ht="43.5" customHeight="1" thickBot="1" x14ac:dyDescent="0.4">
      <c r="A45" s="9" t="s">
        <v>44</v>
      </c>
      <c r="B45" s="10">
        <v>431002</v>
      </c>
      <c r="C45" s="11">
        <v>13000000</v>
      </c>
      <c r="D45" s="11">
        <f>E45+3668159+3763572+902907+715737</f>
        <v>9050375</v>
      </c>
      <c r="E45" s="11">
        <v>0</v>
      </c>
    </row>
    <row r="46" spans="1:5" ht="21.75" thickBot="1" x14ac:dyDescent="0.4">
      <c r="A46" s="12" t="s">
        <v>14</v>
      </c>
      <c r="B46" s="13"/>
      <c r="C46" s="14">
        <v>13000000</v>
      </c>
      <c r="D46" s="14">
        <f>D45</f>
        <v>9050375</v>
      </c>
      <c r="E46" s="14">
        <f>E45</f>
        <v>0</v>
      </c>
    </row>
    <row r="47" spans="1:5" ht="22.5" customHeight="1" thickBot="1" x14ac:dyDescent="0.4">
      <c r="A47" s="8" t="s">
        <v>45</v>
      </c>
      <c r="B47" s="13">
        <v>440000</v>
      </c>
      <c r="C47" s="14"/>
      <c r="D47" s="14"/>
      <c r="E47" s="14"/>
    </row>
    <row r="48" spans="1:5" ht="21.75" thickBot="1" x14ac:dyDescent="0.4">
      <c r="A48" s="8" t="s">
        <v>46</v>
      </c>
      <c r="B48" s="13">
        <v>441000</v>
      </c>
      <c r="C48" s="14"/>
      <c r="D48" s="14"/>
      <c r="E48" s="14"/>
    </row>
    <row r="49" spans="1:5" ht="42.75" thickBot="1" x14ac:dyDescent="0.4">
      <c r="A49" s="9" t="s">
        <v>47</v>
      </c>
      <c r="B49" s="10">
        <v>441001</v>
      </c>
      <c r="C49" s="14"/>
      <c r="D49" s="11">
        <f>E49+6705990+1379810+988700+3945300+348740+51200</f>
        <v>13100040</v>
      </c>
      <c r="E49" s="11">
        <f>88130-407830</f>
        <v>-319700</v>
      </c>
    </row>
    <row r="50" spans="1:5" ht="21.75" thickBot="1" x14ac:dyDescent="0.4">
      <c r="A50" s="9" t="s">
        <v>48</v>
      </c>
      <c r="B50" s="10"/>
      <c r="C50" s="14"/>
      <c r="D50" s="11">
        <f>E50+969000</f>
        <v>969000</v>
      </c>
      <c r="E50" s="11">
        <v>0</v>
      </c>
    </row>
    <row r="51" spans="1:5" ht="21.75" thickBot="1" x14ac:dyDescent="0.4">
      <c r="A51" s="9" t="s">
        <v>49</v>
      </c>
      <c r="B51" s="10"/>
      <c r="C51" s="14"/>
      <c r="D51" s="11">
        <f>E51+969000</f>
        <v>969000</v>
      </c>
      <c r="E51" s="11">
        <v>0</v>
      </c>
    </row>
    <row r="52" spans="1:5" ht="21.75" thickBot="1" x14ac:dyDescent="0.4">
      <c r="A52" s="9" t="s">
        <v>50</v>
      </c>
      <c r="B52" s="10"/>
      <c r="C52" s="14"/>
      <c r="D52" s="11">
        <f>E52+1266000</f>
        <v>1266000</v>
      </c>
      <c r="E52" s="11">
        <v>0</v>
      </c>
    </row>
    <row r="53" spans="1:5" ht="21.75" thickBot="1" x14ac:dyDescent="0.4">
      <c r="A53" s="9" t="s">
        <v>51</v>
      </c>
      <c r="B53" s="10"/>
      <c r="C53" s="14"/>
      <c r="D53" s="11">
        <f>E53+2000000</f>
        <v>2000000</v>
      </c>
      <c r="E53" s="11">
        <v>0</v>
      </c>
    </row>
    <row r="54" spans="1:5" ht="21.75" thickBot="1" x14ac:dyDescent="0.4">
      <c r="A54" s="9" t="s">
        <v>52</v>
      </c>
      <c r="B54" s="10"/>
      <c r="C54" s="14"/>
      <c r="D54" s="11">
        <f>E54+970000</f>
        <v>970000</v>
      </c>
      <c r="E54" s="11">
        <v>0</v>
      </c>
    </row>
    <row r="55" spans="1:5" ht="21.75" thickBot="1" x14ac:dyDescent="0.4">
      <c r="A55" s="9" t="s">
        <v>53</v>
      </c>
      <c r="B55" s="10"/>
      <c r="C55" s="14"/>
      <c r="D55" s="11">
        <f>E55+970000</f>
        <v>970000</v>
      </c>
      <c r="E55" s="11">
        <v>0</v>
      </c>
    </row>
    <row r="56" spans="1:5" ht="21.75" thickBot="1" x14ac:dyDescent="0.4">
      <c r="A56" s="9" t="s">
        <v>54</v>
      </c>
      <c r="B56" s="10"/>
      <c r="C56" s="14"/>
      <c r="D56" s="11">
        <f>E56+482953+736500</f>
        <v>2692453</v>
      </c>
      <c r="E56" s="11">
        <v>1473000</v>
      </c>
    </row>
    <row r="57" spans="1:5" ht="21.75" customHeight="1" thickBot="1" x14ac:dyDescent="0.4">
      <c r="A57" s="9" t="s">
        <v>55</v>
      </c>
      <c r="B57" s="10"/>
      <c r="C57" s="14"/>
      <c r="D57" s="11">
        <f>E57+610000</f>
        <v>610000</v>
      </c>
      <c r="E57" s="11">
        <v>0</v>
      </c>
    </row>
    <row r="58" spans="1:5" ht="23.25" customHeight="1" thickBot="1" x14ac:dyDescent="0.4">
      <c r="A58" s="9" t="s">
        <v>56</v>
      </c>
      <c r="B58" s="10">
        <v>441002</v>
      </c>
      <c r="C58" s="14"/>
      <c r="D58" s="11">
        <f>E58</f>
        <v>267000</v>
      </c>
      <c r="E58" s="11">
        <v>267000</v>
      </c>
    </row>
    <row r="59" spans="1:5" ht="25.5" customHeight="1" thickBot="1" x14ac:dyDescent="0.4">
      <c r="A59" s="12" t="s">
        <v>14</v>
      </c>
      <c r="B59" s="10"/>
      <c r="C59" s="14"/>
      <c r="D59" s="14">
        <f>SUM(D49:D58)</f>
        <v>23813493</v>
      </c>
      <c r="E59" s="14">
        <f>SUM(E49:E58)</f>
        <v>1420300</v>
      </c>
    </row>
    <row r="60" spans="1:5" ht="27" customHeight="1" thickBot="1" x14ac:dyDescent="0.4">
      <c r="A60" s="12" t="s">
        <v>57</v>
      </c>
      <c r="B60" s="13"/>
      <c r="C60" s="14">
        <f>C11+C20+C23+C27+C42+C46</f>
        <v>32922000</v>
      </c>
      <c r="D60" s="14">
        <f>D11+D20+D23+D27+D42+D46</f>
        <v>26862636.580000002</v>
      </c>
      <c r="E60" s="14">
        <f>E11+E20+E23+E27+E42+E46</f>
        <v>1610272.67</v>
      </c>
    </row>
    <row r="61" spans="1:5" ht="25.5" customHeight="1" thickBot="1" x14ac:dyDescent="0.4">
      <c r="A61" s="12" t="s">
        <v>58</v>
      </c>
      <c r="B61" s="13"/>
      <c r="C61" s="14">
        <v>32922000</v>
      </c>
      <c r="D61" s="14">
        <f>D59+D60</f>
        <v>50676129.579999998</v>
      </c>
      <c r="E61" s="14">
        <f>E59+E60</f>
        <v>3030572.67</v>
      </c>
    </row>
    <row r="62" spans="1:5" ht="13.5" customHeight="1" x14ac:dyDescent="0.35"/>
    <row r="64" spans="1:5" x14ac:dyDescent="0.35">
      <c r="A64" s="17"/>
      <c r="B64" s="17"/>
      <c r="C64" s="18"/>
      <c r="D64" s="17"/>
    </row>
    <row r="65" spans="1:5" x14ac:dyDescent="0.35">
      <c r="A65" s="17"/>
      <c r="B65" s="17"/>
      <c r="C65" s="17"/>
      <c r="D65" s="17"/>
    </row>
    <row r="66" spans="1:5" x14ac:dyDescent="0.35">
      <c r="A66" s="17"/>
      <c r="B66" s="17"/>
      <c r="C66" s="17"/>
      <c r="D66" s="17"/>
      <c r="E66" s="19"/>
    </row>
  </sheetData>
  <mergeCells count="4">
    <mergeCell ref="A1:E1"/>
    <mergeCell ref="A2:E2"/>
    <mergeCell ref="A3:E3"/>
    <mergeCell ref="A4:E4"/>
  </mergeCells>
  <pageMargins left="0.39370078740157483" right="0.19685039370078741" top="0.47244094488188981" bottom="0.47244094488188981" header="0.47244094488188981" footer="0.47244094488188981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36"/>
  <sheetViews>
    <sheetView showGridLines="0" zoomScaleNormal="100" workbookViewId="0">
      <selection activeCell="C9" sqref="C9"/>
    </sheetView>
  </sheetViews>
  <sheetFormatPr defaultRowHeight="39.950000000000003" customHeight="1" x14ac:dyDescent="0.3"/>
  <cols>
    <col min="1" max="1" width="16" style="57" customWidth="1"/>
    <col min="2" max="2" width="9.25" style="23" customWidth="1"/>
    <col min="3" max="3" width="21.875" style="58" customWidth="1"/>
    <col min="4" max="4" width="11.25" style="59" customWidth="1"/>
    <col min="5" max="5" width="12.75" style="60" bestFit="1" customWidth="1"/>
    <col min="6" max="6" width="11.5" style="60" bestFit="1" customWidth="1"/>
    <col min="7" max="8" width="10.875" style="60" bestFit="1" customWidth="1"/>
    <col min="9" max="9" width="12" style="60" bestFit="1" customWidth="1"/>
    <col min="10" max="10" width="12.875" style="60" customWidth="1"/>
    <col min="11" max="11" width="4.875" style="23" customWidth="1"/>
    <col min="12" max="13" width="0.125" style="23" customWidth="1"/>
    <col min="14" max="16384" width="9" style="23"/>
  </cols>
  <sheetData>
    <row r="1" spans="1:13" ht="21.95" customHeight="1" x14ac:dyDescent="0.3">
      <c r="A1" s="20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1"/>
      <c r="M1" s="22"/>
    </row>
    <row r="2" spans="1:13" ht="21.95" customHeight="1" x14ac:dyDescent="0.3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4"/>
      <c r="L2" s="21"/>
      <c r="M2" s="22"/>
    </row>
    <row r="3" spans="1:13" ht="21.95" customHeight="1" x14ac:dyDescent="0.3">
      <c r="A3" s="20" t="s">
        <v>61</v>
      </c>
      <c r="B3" s="20"/>
      <c r="C3" s="20"/>
      <c r="D3" s="20"/>
      <c r="E3" s="20"/>
      <c r="F3" s="20"/>
      <c r="G3" s="20"/>
      <c r="H3" s="20"/>
      <c r="I3" s="20"/>
      <c r="J3" s="20"/>
      <c r="K3" s="24"/>
      <c r="L3" s="21"/>
      <c r="M3" s="22"/>
    </row>
    <row r="4" spans="1:13" ht="21.95" customHeight="1" thickBot="1" x14ac:dyDescent="0.35">
      <c r="A4" s="25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4"/>
      <c r="L4" s="21"/>
      <c r="M4" s="22"/>
    </row>
    <row r="5" spans="1:13" s="31" customFormat="1" ht="39.950000000000003" customHeight="1" x14ac:dyDescent="0.3">
      <c r="A5" s="26" t="s">
        <v>63</v>
      </c>
      <c r="B5" s="26" t="s">
        <v>64</v>
      </c>
      <c r="C5" s="27" t="s">
        <v>65</v>
      </c>
      <c r="D5" s="28" t="s">
        <v>66</v>
      </c>
      <c r="E5" s="29" t="s">
        <v>67</v>
      </c>
      <c r="F5" s="29" t="s">
        <v>68</v>
      </c>
      <c r="G5" s="30" t="s">
        <v>69</v>
      </c>
      <c r="H5" s="30" t="s">
        <v>70</v>
      </c>
      <c r="I5" s="29" t="s">
        <v>71</v>
      </c>
      <c r="J5" s="29" t="s">
        <v>72</v>
      </c>
      <c r="K5" s="22"/>
      <c r="L5" s="21"/>
      <c r="M5" s="22"/>
    </row>
    <row r="6" spans="1:13" ht="39.950000000000003" customHeight="1" x14ac:dyDescent="0.3">
      <c r="A6" s="32" t="s">
        <v>73</v>
      </c>
      <c r="B6" s="33" t="s">
        <v>74</v>
      </c>
      <c r="C6" s="34" t="s">
        <v>75</v>
      </c>
      <c r="D6" s="35"/>
      <c r="E6" s="36">
        <v>514080</v>
      </c>
      <c r="F6" s="36">
        <v>0</v>
      </c>
      <c r="G6" s="37">
        <v>0</v>
      </c>
      <c r="H6" s="37">
        <v>42840</v>
      </c>
      <c r="I6" s="36">
        <f>H6+42840+42840+42840+35601.16+42840+42840+42840+42840+42840+42840+42840</f>
        <v>506841.16000000003</v>
      </c>
      <c r="J6" s="36">
        <f>E6+F6-G6-I6</f>
        <v>7238.8399999999674</v>
      </c>
      <c r="K6" s="22"/>
      <c r="L6" s="21"/>
      <c r="M6" s="22"/>
    </row>
    <row r="7" spans="1:13" ht="39.950000000000003" customHeight="1" x14ac:dyDescent="0.3">
      <c r="A7" s="32" t="s">
        <v>73</v>
      </c>
      <c r="B7" s="33" t="s">
        <v>74</v>
      </c>
      <c r="C7" s="34" t="s">
        <v>76</v>
      </c>
      <c r="D7" s="35"/>
      <c r="E7" s="36">
        <v>42120</v>
      </c>
      <c r="F7" s="36">
        <v>0</v>
      </c>
      <c r="G7" s="37">
        <v>0</v>
      </c>
      <c r="H7" s="37">
        <v>3510</v>
      </c>
      <c r="I7" s="36">
        <f>H7+3510+3510+3510+2942.07+3510+3510+3510+3510+3510+3510+3510</f>
        <v>41552.07</v>
      </c>
      <c r="J7" s="36">
        <f>E7+F7-G7-I7</f>
        <v>567.93000000000029</v>
      </c>
      <c r="K7" s="22"/>
      <c r="L7" s="21"/>
      <c r="M7" s="22"/>
    </row>
    <row r="8" spans="1:13" ht="39.950000000000003" customHeight="1" x14ac:dyDescent="0.3">
      <c r="A8" s="32" t="s">
        <v>73</v>
      </c>
      <c r="B8" s="33" t="s">
        <v>74</v>
      </c>
      <c r="C8" s="34" t="s">
        <v>77</v>
      </c>
      <c r="D8" s="35"/>
      <c r="E8" s="36">
        <v>42120</v>
      </c>
      <c r="F8" s="36">
        <v>0</v>
      </c>
      <c r="G8" s="37">
        <v>0</v>
      </c>
      <c r="H8" s="37">
        <v>3510</v>
      </c>
      <c r="I8" s="36">
        <f>H8+3510+3510+3510+2942.07+3510+3510+3510+3510+3510+3510+3510</f>
        <v>41552.07</v>
      </c>
      <c r="J8" s="36">
        <f>E8+F8-G8-I8</f>
        <v>567.93000000000029</v>
      </c>
      <c r="K8" s="22"/>
      <c r="L8" s="21"/>
      <c r="M8" s="22"/>
    </row>
    <row r="9" spans="1:13" ht="49.5" customHeight="1" x14ac:dyDescent="0.3">
      <c r="A9" s="32" t="s">
        <v>73</v>
      </c>
      <c r="B9" s="33" t="s">
        <v>74</v>
      </c>
      <c r="C9" s="34" t="s">
        <v>78</v>
      </c>
      <c r="D9" s="35"/>
      <c r="E9" s="36">
        <v>86400</v>
      </c>
      <c r="F9" s="36">
        <v>0</v>
      </c>
      <c r="G9" s="37">
        <v>0</v>
      </c>
      <c r="H9" s="37">
        <v>7200</v>
      </c>
      <c r="I9" s="36">
        <f>H9+7200+7200+7200+7200+7200+7200+7200+7200+7200+7200+7200</f>
        <v>86400</v>
      </c>
      <c r="J9" s="36">
        <f>E9+F9-G9-I9</f>
        <v>0</v>
      </c>
      <c r="K9" s="22"/>
      <c r="L9" s="21"/>
      <c r="M9" s="22"/>
    </row>
    <row r="10" spans="1:13" ht="39.950000000000003" customHeight="1" x14ac:dyDescent="0.3">
      <c r="A10" s="32" t="s">
        <v>73</v>
      </c>
      <c r="B10" s="33" t="s">
        <v>74</v>
      </c>
      <c r="C10" s="34" t="s">
        <v>79</v>
      </c>
      <c r="D10" s="35"/>
      <c r="E10" s="36">
        <v>2750400</v>
      </c>
      <c r="F10" s="36">
        <v>0</v>
      </c>
      <c r="G10" s="37">
        <v>80000</v>
      </c>
      <c r="H10" s="37">
        <v>222000</v>
      </c>
      <c r="I10" s="36">
        <f>H10+222000+222000+222000+222000+222000+222000+222000+222000+222000+222000+222000</f>
        <v>2664000</v>
      </c>
      <c r="J10" s="36">
        <f>E10+F10-G10-I10</f>
        <v>6400</v>
      </c>
      <c r="K10" s="22"/>
      <c r="L10" s="21"/>
      <c r="M10" s="22"/>
    </row>
    <row r="11" spans="1:13" ht="23.25" customHeight="1" x14ac:dyDescent="0.3">
      <c r="A11" s="38" t="s">
        <v>80</v>
      </c>
      <c r="B11" s="38"/>
      <c r="C11" s="38"/>
      <c r="D11" s="38"/>
      <c r="E11" s="39">
        <f t="shared" ref="E11:J11" si="0">SUM(E6:E10)</f>
        <v>3435120</v>
      </c>
      <c r="F11" s="39">
        <f t="shared" si="0"/>
        <v>0</v>
      </c>
      <c r="G11" s="39">
        <f t="shared" si="0"/>
        <v>80000</v>
      </c>
      <c r="H11" s="39">
        <f t="shared" si="0"/>
        <v>279060</v>
      </c>
      <c r="I11" s="39">
        <f t="shared" si="0"/>
        <v>3340345.3</v>
      </c>
      <c r="J11" s="39">
        <f t="shared" si="0"/>
        <v>14774.699999999968</v>
      </c>
      <c r="K11" s="22"/>
      <c r="L11" s="21"/>
      <c r="M11" s="22"/>
    </row>
    <row r="12" spans="1:13" ht="39.950000000000003" customHeight="1" x14ac:dyDescent="0.3">
      <c r="A12" s="32" t="s">
        <v>73</v>
      </c>
      <c r="B12" s="33" t="s">
        <v>81</v>
      </c>
      <c r="C12" s="34" t="s">
        <v>82</v>
      </c>
      <c r="D12" s="35"/>
      <c r="E12" s="36">
        <v>2938440</v>
      </c>
      <c r="F12" s="36">
        <v>67500</v>
      </c>
      <c r="G12" s="37">
        <v>0</v>
      </c>
      <c r="H12" s="37">
        <v>246880</v>
      </c>
      <c r="I12" s="36">
        <f>H12+235096.45+233390+233390+340308.71+241230+241230+246880+246880+246880+246880+246880</f>
        <v>3005925.16</v>
      </c>
      <c r="J12" s="36">
        <f>E12+F12-G12-I12</f>
        <v>14.839999999850988</v>
      </c>
      <c r="K12" s="22"/>
      <c r="L12" s="21"/>
      <c r="M12" s="22"/>
    </row>
    <row r="13" spans="1:13" ht="39.950000000000003" customHeight="1" x14ac:dyDescent="0.3">
      <c r="A13" s="32" t="s">
        <v>73</v>
      </c>
      <c r="B13" s="33" t="s">
        <v>81</v>
      </c>
      <c r="C13" s="34" t="s">
        <v>83</v>
      </c>
      <c r="D13" s="35"/>
      <c r="E13" s="36">
        <v>0</v>
      </c>
      <c r="F13" s="36">
        <v>145000</v>
      </c>
      <c r="G13" s="37">
        <v>0</v>
      </c>
      <c r="H13" s="37">
        <v>4500</v>
      </c>
      <c r="I13" s="36">
        <f>H13+93857.14+4500+4500+4500+4500+4500+4500+4500+4500+4500+4500</f>
        <v>143357.14000000001</v>
      </c>
      <c r="J13" s="36">
        <f>E13+F13-G13-I13</f>
        <v>1642.859999999986</v>
      </c>
      <c r="K13" s="22"/>
      <c r="L13" s="21"/>
      <c r="M13" s="22"/>
    </row>
    <row r="14" spans="1:13" ht="39.950000000000003" customHeight="1" x14ac:dyDescent="0.3">
      <c r="A14" s="32" t="s">
        <v>73</v>
      </c>
      <c r="B14" s="33" t="s">
        <v>81</v>
      </c>
      <c r="C14" s="34" t="s">
        <v>84</v>
      </c>
      <c r="D14" s="35"/>
      <c r="E14" s="36">
        <v>260400</v>
      </c>
      <c r="F14" s="36">
        <v>25200</v>
      </c>
      <c r="G14" s="37">
        <v>0</v>
      </c>
      <c r="H14" s="37">
        <v>24500</v>
      </c>
      <c r="I14" s="36">
        <f>H14+21700+21700+21700+21700+21700+21700+21700+35700+24500+24500+24500</f>
        <v>285600</v>
      </c>
      <c r="J14" s="36">
        <f>E14+F14-G14-I14</f>
        <v>0</v>
      </c>
      <c r="K14" s="22"/>
      <c r="L14" s="21"/>
      <c r="M14" s="22"/>
    </row>
    <row r="15" spans="1:13" ht="39.950000000000003" customHeight="1" x14ac:dyDescent="0.3">
      <c r="A15" s="32" t="s">
        <v>73</v>
      </c>
      <c r="B15" s="33" t="s">
        <v>81</v>
      </c>
      <c r="C15" s="34" t="s">
        <v>85</v>
      </c>
      <c r="D15" s="35"/>
      <c r="E15" s="36">
        <v>600600</v>
      </c>
      <c r="F15" s="36">
        <v>5640</v>
      </c>
      <c r="G15" s="37"/>
      <c r="H15" s="37">
        <v>50050</v>
      </c>
      <c r="I15" s="36">
        <f>H15+47480+47480+47480+65160+49170+49170+50050+50050+50050+50050+50050</f>
        <v>606240</v>
      </c>
      <c r="J15" s="36">
        <f>E15+F15-G15-I15</f>
        <v>0</v>
      </c>
      <c r="K15" s="22"/>
      <c r="L15" s="21"/>
      <c r="M15" s="22"/>
    </row>
    <row r="16" spans="1:13" s="31" customFormat="1" ht="39.950000000000003" customHeight="1" x14ac:dyDescent="0.3">
      <c r="A16" s="26" t="s">
        <v>63</v>
      </c>
      <c r="B16" s="26" t="s">
        <v>64</v>
      </c>
      <c r="C16" s="27" t="s">
        <v>65</v>
      </c>
      <c r="D16" s="28" t="s">
        <v>66</v>
      </c>
      <c r="E16" s="29" t="s">
        <v>67</v>
      </c>
      <c r="F16" s="29" t="s">
        <v>68</v>
      </c>
      <c r="G16" s="30" t="s">
        <v>69</v>
      </c>
      <c r="H16" s="30" t="s">
        <v>70</v>
      </c>
      <c r="I16" s="29" t="s">
        <v>71</v>
      </c>
      <c r="J16" s="29" t="s">
        <v>72</v>
      </c>
      <c r="K16" s="22"/>
      <c r="L16" s="21"/>
      <c r="M16" s="22"/>
    </row>
    <row r="17" spans="1:13" ht="39.950000000000003" customHeight="1" x14ac:dyDescent="0.3">
      <c r="A17" s="32" t="s">
        <v>73</v>
      </c>
      <c r="B17" s="33" t="s">
        <v>81</v>
      </c>
      <c r="C17" s="34" t="s">
        <v>86</v>
      </c>
      <c r="D17" s="35"/>
      <c r="E17" s="36">
        <v>15000</v>
      </c>
      <c r="F17" s="36">
        <v>0</v>
      </c>
      <c r="G17" s="37">
        <v>5640</v>
      </c>
      <c r="H17" s="37">
        <v>215</v>
      </c>
      <c r="I17" s="36">
        <f>H17+955+955+955+475+475+475+215+215+215+215+215</f>
        <v>5580</v>
      </c>
      <c r="J17" s="36">
        <f>E17+F17-G17-I17</f>
        <v>3780</v>
      </c>
      <c r="K17" s="22"/>
      <c r="L17" s="21"/>
      <c r="M17" s="22"/>
    </row>
    <row r="18" spans="1:13" ht="39.950000000000003" customHeight="1" x14ac:dyDescent="0.3">
      <c r="A18" s="32" t="s">
        <v>73</v>
      </c>
      <c r="B18" s="33" t="s">
        <v>81</v>
      </c>
      <c r="C18" s="34" t="s">
        <v>87</v>
      </c>
      <c r="D18" s="35"/>
      <c r="E18" s="36">
        <v>1011960</v>
      </c>
      <c r="F18" s="36">
        <v>0</v>
      </c>
      <c r="G18" s="37">
        <v>157700</v>
      </c>
      <c r="H18" s="37">
        <v>69470</v>
      </c>
      <c r="I18" s="36">
        <f>H18+76630+69470+69470+69470+69470+69470+69470+69470+69470+69470+69470</f>
        <v>840800</v>
      </c>
      <c r="J18" s="36">
        <f>E18+F18-G18-I18</f>
        <v>13460</v>
      </c>
      <c r="K18" s="22"/>
      <c r="L18" s="21"/>
      <c r="M18" s="22"/>
    </row>
    <row r="19" spans="1:13" ht="39.950000000000003" customHeight="1" x14ac:dyDescent="0.3">
      <c r="A19" s="32" t="s">
        <v>73</v>
      </c>
      <c r="B19" s="33" t="s">
        <v>81</v>
      </c>
      <c r="C19" s="34" t="s">
        <v>88</v>
      </c>
      <c r="D19" s="35"/>
      <c r="E19" s="36">
        <v>96000</v>
      </c>
      <c r="F19" s="36">
        <v>0</v>
      </c>
      <c r="G19" s="37">
        <v>10000</v>
      </c>
      <c r="H19" s="37">
        <v>7000</v>
      </c>
      <c r="I19" s="36">
        <f>H19+7000+7000+7000+7000+7000+7000+7000+7000+7000+7000+7000</f>
        <v>84000</v>
      </c>
      <c r="J19" s="36">
        <f>E19+F19-G19-I19</f>
        <v>2000</v>
      </c>
      <c r="K19" s="22"/>
      <c r="L19" s="21"/>
      <c r="M19" s="22"/>
    </row>
    <row r="20" spans="1:13" ht="21.75" customHeight="1" x14ac:dyDescent="0.3">
      <c r="A20" s="38" t="s">
        <v>89</v>
      </c>
      <c r="B20" s="38"/>
      <c r="C20" s="38"/>
      <c r="D20" s="38"/>
      <c r="E20" s="39">
        <f t="shared" ref="E20:J20" si="1">SUM(E12:E19)</f>
        <v>4922400</v>
      </c>
      <c r="F20" s="39">
        <f t="shared" si="1"/>
        <v>243340</v>
      </c>
      <c r="G20" s="39">
        <f t="shared" si="1"/>
        <v>173340</v>
      </c>
      <c r="H20" s="39">
        <f t="shared" si="1"/>
        <v>402615</v>
      </c>
      <c r="I20" s="39">
        <f t="shared" si="1"/>
        <v>4971502.3000000007</v>
      </c>
      <c r="J20" s="39">
        <f t="shared" si="1"/>
        <v>20897.699999999837</v>
      </c>
      <c r="K20" s="22"/>
      <c r="L20" s="21"/>
      <c r="M20" s="22"/>
    </row>
    <row r="21" spans="1:13" ht="33" customHeight="1" x14ac:dyDescent="0.3">
      <c r="A21" s="32" t="s">
        <v>73</v>
      </c>
      <c r="B21" s="33" t="s">
        <v>90</v>
      </c>
      <c r="C21" s="34" t="s">
        <v>91</v>
      </c>
      <c r="D21" s="35"/>
      <c r="E21" s="36">
        <v>399250</v>
      </c>
      <c r="F21" s="36">
        <v>0</v>
      </c>
      <c r="G21" s="37">
        <v>0</v>
      </c>
      <c r="H21" s="37">
        <f>366400+10650</f>
        <v>377050</v>
      </c>
      <c r="I21" s="36">
        <f>H21</f>
        <v>377050</v>
      </c>
      <c r="J21" s="36">
        <f>E21+F21-G21-I21</f>
        <v>22200</v>
      </c>
      <c r="K21" s="22"/>
      <c r="L21" s="21"/>
      <c r="M21" s="22"/>
    </row>
    <row r="22" spans="1:13" ht="32.25" customHeight="1" x14ac:dyDescent="0.3">
      <c r="A22" s="32" t="s">
        <v>73</v>
      </c>
      <c r="B22" s="33" t="s">
        <v>90</v>
      </c>
      <c r="C22" s="34" t="s">
        <v>92</v>
      </c>
      <c r="D22" s="35"/>
      <c r="E22" s="36">
        <v>50000</v>
      </c>
      <c r="F22" s="36">
        <v>0</v>
      </c>
      <c r="G22" s="37">
        <v>46000</v>
      </c>
      <c r="H22" s="37">
        <v>0</v>
      </c>
      <c r="I22" s="36">
        <f>H22+3780</f>
        <v>3780</v>
      </c>
      <c r="J22" s="36">
        <f>E22+F22-G22-I22</f>
        <v>220</v>
      </c>
      <c r="K22" s="22"/>
      <c r="L22" s="21"/>
      <c r="M22" s="22"/>
    </row>
    <row r="23" spans="1:13" ht="16.5" customHeight="1" x14ac:dyDescent="0.3">
      <c r="A23" s="32" t="s">
        <v>73</v>
      </c>
      <c r="B23" s="33" t="s">
        <v>90</v>
      </c>
      <c r="C23" s="34" t="s">
        <v>93</v>
      </c>
      <c r="D23" s="35"/>
      <c r="E23" s="36">
        <v>310800</v>
      </c>
      <c r="F23" s="36">
        <v>0</v>
      </c>
      <c r="G23" s="37">
        <v>15000</v>
      </c>
      <c r="H23" s="37">
        <v>26400</v>
      </c>
      <c r="I23" s="36">
        <f>H23+25900+25900+25900+25900+25900+25900+25900+26400+26400+26400</f>
        <v>286900</v>
      </c>
      <c r="J23" s="36">
        <f>E23+F23-G23-I23</f>
        <v>8900</v>
      </c>
      <c r="K23" s="22"/>
      <c r="L23" s="21"/>
      <c r="M23" s="22"/>
    </row>
    <row r="24" spans="1:13" ht="17.25" customHeight="1" x14ac:dyDescent="0.3">
      <c r="A24" s="32" t="s">
        <v>73</v>
      </c>
      <c r="B24" s="33" t="s">
        <v>90</v>
      </c>
      <c r="C24" s="34" t="s">
        <v>94</v>
      </c>
      <c r="D24" s="35"/>
      <c r="E24" s="36">
        <v>60000</v>
      </c>
      <c r="F24" s="36">
        <v>0</v>
      </c>
      <c r="G24" s="37">
        <v>0</v>
      </c>
      <c r="H24" s="37">
        <v>0</v>
      </c>
      <c r="I24" s="36">
        <f>H24+23710+9880+1500+22000</f>
        <v>57090</v>
      </c>
      <c r="J24" s="36">
        <f>E24+F24-G24-I24</f>
        <v>2910</v>
      </c>
      <c r="K24" s="22"/>
      <c r="L24" s="21"/>
      <c r="M24" s="22"/>
    </row>
    <row r="25" spans="1:13" ht="20.25" customHeight="1" x14ac:dyDescent="0.3">
      <c r="A25" s="38" t="s">
        <v>95</v>
      </c>
      <c r="B25" s="38"/>
      <c r="C25" s="38"/>
      <c r="D25" s="38"/>
      <c r="E25" s="39">
        <f t="shared" ref="E25:J25" si="2">SUM(E21:E24)</f>
        <v>820050</v>
      </c>
      <c r="F25" s="39">
        <f t="shared" si="2"/>
        <v>0</v>
      </c>
      <c r="G25" s="39">
        <f t="shared" si="2"/>
        <v>61000</v>
      </c>
      <c r="H25" s="39">
        <f t="shared" si="2"/>
        <v>403450</v>
      </c>
      <c r="I25" s="39">
        <f t="shared" si="2"/>
        <v>724820</v>
      </c>
      <c r="J25" s="39">
        <f t="shared" si="2"/>
        <v>34230</v>
      </c>
      <c r="K25" s="22"/>
      <c r="L25" s="21"/>
      <c r="M25" s="22"/>
    </row>
    <row r="26" spans="1:13" ht="17.25" customHeight="1" x14ac:dyDescent="0.3">
      <c r="A26" s="32" t="s">
        <v>73</v>
      </c>
      <c r="B26" s="33" t="s">
        <v>96</v>
      </c>
      <c r="C26" s="34" t="s">
        <v>97</v>
      </c>
      <c r="D26" s="35"/>
      <c r="E26" s="36">
        <v>382200</v>
      </c>
      <c r="F26" s="36">
        <v>101200</v>
      </c>
      <c r="G26" s="37">
        <v>0</v>
      </c>
      <c r="H26" s="37">
        <f>8000+8000+3500+3500+10000</f>
        <v>33000</v>
      </c>
      <c r="I26" s="36">
        <f>H26+8374+114580+11500+46000+32867.42+11500+19100+121637+11900+38500</f>
        <v>448958.42</v>
      </c>
      <c r="J26" s="36">
        <f t="shared" ref="J26:J32" si="3">E26+F26-G26-I26</f>
        <v>34441.580000000016</v>
      </c>
      <c r="K26" s="22"/>
      <c r="L26" s="21"/>
      <c r="M26" s="22"/>
    </row>
    <row r="27" spans="1:13" ht="17.25" customHeight="1" x14ac:dyDescent="0.3">
      <c r="A27" s="32" t="s">
        <v>73</v>
      </c>
      <c r="B27" s="33" t="s">
        <v>96</v>
      </c>
      <c r="C27" s="34" t="s">
        <v>98</v>
      </c>
      <c r="D27" s="35"/>
      <c r="E27" s="36">
        <v>30000</v>
      </c>
      <c r="F27" s="36">
        <v>0</v>
      </c>
      <c r="G27" s="37">
        <v>11000</v>
      </c>
      <c r="H27" s="37">
        <v>1000</v>
      </c>
      <c r="I27" s="36">
        <f>H27+1000+1000+1000+700+1000+4080+1000</f>
        <v>10780</v>
      </c>
      <c r="J27" s="36">
        <f t="shared" si="3"/>
        <v>8220</v>
      </c>
      <c r="K27" s="22"/>
      <c r="L27" s="21"/>
      <c r="M27" s="22"/>
    </row>
    <row r="28" spans="1:13" ht="31.5" customHeight="1" x14ac:dyDescent="0.3">
      <c r="A28" s="32" t="s">
        <v>73</v>
      </c>
      <c r="B28" s="33" t="s">
        <v>96</v>
      </c>
      <c r="C28" s="34" t="s">
        <v>99</v>
      </c>
      <c r="D28" s="35" t="s">
        <v>100</v>
      </c>
      <c r="E28" s="36">
        <v>150000</v>
      </c>
      <c r="F28" s="36">
        <v>0</v>
      </c>
      <c r="G28" s="37">
        <v>11000</v>
      </c>
      <c r="H28" s="37">
        <f>2340+680+2400+2344+2544+3500+540+544+404+328</f>
        <v>15624</v>
      </c>
      <c r="I28" s="36">
        <f>H28+2420+9242+20196+17102+17024+20324+380+5584+12596</f>
        <v>120492</v>
      </c>
      <c r="J28" s="36">
        <f t="shared" si="3"/>
        <v>18508</v>
      </c>
      <c r="K28" s="22"/>
      <c r="L28" s="21"/>
      <c r="M28" s="22"/>
    </row>
    <row r="29" spans="1:13" ht="30" customHeight="1" x14ac:dyDescent="0.3">
      <c r="A29" s="32" t="s">
        <v>73</v>
      </c>
      <c r="B29" s="33" t="s">
        <v>96</v>
      </c>
      <c r="C29" s="34" t="s">
        <v>99</v>
      </c>
      <c r="D29" s="35" t="s">
        <v>101</v>
      </c>
      <c r="E29" s="36">
        <v>5000</v>
      </c>
      <c r="F29" s="36">
        <v>0</v>
      </c>
      <c r="G29" s="37">
        <v>5000</v>
      </c>
      <c r="H29" s="37">
        <v>0</v>
      </c>
      <c r="I29" s="36">
        <f>H29</f>
        <v>0</v>
      </c>
      <c r="J29" s="36">
        <f t="shared" si="3"/>
        <v>0</v>
      </c>
      <c r="K29" s="22"/>
      <c r="L29" s="21"/>
      <c r="M29" s="22"/>
    </row>
    <row r="30" spans="1:13" ht="47.25" customHeight="1" x14ac:dyDescent="0.3">
      <c r="A30" s="32" t="s">
        <v>73</v>
      </c>
      <c r="B30" s="33" t="s">
        <v>96</v>
      </c>
      <c r="C30" s="34" t="s">
        <v>99</v>
      </c>
      <c r="D30" s="40" t="s">
        <v>102</v>
      </c>
      <c r="E30" s="36">
        <v>10000</v>
      </c>
      <c r="F30" s="36">
        <v>0</v>
      </c>
      <c r="G30" s="37">
        <v>9000</v>
      </c>
      <c r="H30" s="37">
        <v>0</v>
      </c>
      <c r="I30" s="36">
        <f>H30+1000</f>
        <v>1000</v>
      </c>
      <c r="J30" s="36">
        <f t="shared" si="3"/>
        <v>0</v>
      </c>
      <c r="K30" s="22"/>
      <c r="L30" s="21"/>
      <c r="M30" s="22"/>
    </row>
    <row r="31" spans="1:13" ht="54" customHeight="1" x14ac:dyDescent="0.3">
      <c r="A31" s="32" t="s">
        <v>73</v>
      </c>
      <c r="B31" s="33" t="s">
        <v>96</v>
      </c>
      <c r="C31" s="34" t="s">
        <v>99</v>
      </c>
      <c r="D31" s="41" t="s">
        <v>103</v>
      </c>
      <c r="E31" s="36">
        <v>0</v>
      </c>
      <c r="F31" s="36">
        <v>10000</v>
      </c>
      <c r="G31" s="37">
        <v>0</v>
      </c>
      <c r="H31" s="37">
        <v>0</v>
      </c>
      <c r="I31" s="36">
        <f>H31+10000</f>
        <v>10000</v>
      </c>
      <c r="J31" s="36">
        <f>E31+F31-G31-I31</f>
        <v>0</v>
      </c>
      <c r="K31" s="22"/>
      <c r="L31" s="21"/>
      <c r="M31" s="22"/>
    </row>
    <row r="32" spans="1:13" ht="39" customHeight="1" x14ac:dyDescent="0.3">
      <c r="A32" s="32" t="s">
        <v>73</v>
      </c>
      <c r="B32" s="33" t="s">
        <v>96</v>
      </c>
      <c r="C32" s="34" t="s">
        <v>99</v>
      </c>
      <c r="D32" s="41" t="s">
        <v>104</v>
      </c>
      <c r="E32" s="36">
        <v>10000</v>
      </c>
      <c r="F32" s="36">
        <v>0</v>
      </c>
      <c r="G32" s="37">
        <v>0</v>
      </c>
      <c r="H32" s="37">
        <v>0</v>
      </c>
      <c r="I32" s="36">
        <f>H32+10000</f>
        <v>10000</v>
      </c>
      <c r="J32" s="36">
        <f t="shared" si="3"/>
        <v>0</v>
      </c>
      <c r="K32" s="22"/>
      <c r="L32" s="21"/>
      <c r="M32" s="22"/>
    </row>
    <row r="33" spans="1:13" s="31" customFormat="1" ht="39.950000000000003" customHeight="1" x14ac:dyDescent="0.3">
      <c r="A33" s="26" t="s">
        <v>63</v>
      </c>
      <c r="B33" s="26" t="s">
        <v>64</v>
      </c>
      <c r="C33" s="27" t="s">
        <v>65</v>
      </c>
      <c r="D33" s="28" t="s">
        <v>66</v>
      </c>
      <c r="E33" s="29" t="s">
        <v>67</v>
      </c>
      <c r="F33" s="29" t="s">
        <v>68</v>
      </c>
      <c r="G33" s="30" t="s">
        <v>69</v>
      </c>
      <c r="H33" s="30" t="s">
        <v>70</v>
      </c>
      <c r="I33" s="29" t="s">
        <v>71</v>
      </c>
      <c r="J33" s="29" t="s">
        <v>72</v>
      </c>
      <c r="K33" s="22"/>
      <c r="L33" s="21"/>
      <c r="M33" s="22"/>
    </row>
    <row r="34" spans="1:13" ht="64.5" customHeight="1" x14ac:dyDescent="0.3">
      <c r="A34" s="32" t="s">
        <v>73</v>
      </c>
      <c r="B34" s="33" t="s">
        <v>96</v>
      </c>
      <c r="C34" s="34" t="s">
        <v>99</v>
      </c>
      <c r="D34" s="35" t="s">
        <v>105</v>
      </c>
      <c r="E34" s="36">
        <v>250000</v>
      </c>
      <c r="F34" s="36">
        <v>0</v>
      </c>
      <c r="G34" s="37">
        <v>249700</v>
      </c>
      <c r="H34" s="37">
        <v>0</v>
      </c>
      <c r="I34" s="36">
        <f>H34</f>
        <v>0</v>
      </c>
      <c r="J34" s="36">
        <f>E34+F34-G34-I34</f>
        <v>300</v>
      </c>
      <c r="K34" s="22"/>
      <c r="L34" s="21"/>
      <c r="M34" s="22"/>
    </row>
    <row r="35" spans="1:13" ht="21.75" customHeight="1" x14ac:dyDescent="0.3">
      <c r="A35" s="32" t="s">
        <v>73</v>
      </c>
      <c r="B35" s="33" t="s">
        <v>96</v>
      </c>
      <c r="C35" s="34" t="s">
        <v>106</v>
      </c>
      <c r="D35" s="35"/>
      <c r="E35" s="36">
        <v>30000</v>
      </c>
      <c r="F35" s="36">
        <v>0</v>
      </c>
      <c r="G35" s="37">
        <v>0</v>
      </c>
      <c r="H35" s="37">
        <f>3100+3430</f>
        <v>6530</v>
      </c>
      <c r="I35" s="36">
        <f>H35+1880+2100+1400+2300+5560+4275</f>
        <v>24045</v>
      </c>
      <c r="J35" s="36">
        <f>E35+F35-G35-I35</f>
        <v>5955</v>
      </c>
      <c r="K35" s="22"/>
      <c r="L35" s="21"/>
      <c r="M35" s="22"/>
    </row>
    <row r="36" spans="1:13" ht="22.5" customHeight="1" x14ac:dyDescent="0.3">
      <c r="A36" s="38" t="s">
        <v>107</v>
      </c>
      <c r="B36" s="38"/>
      <c r="C36" s="38"/>
      <c r="D36" s="38"/>
      <c r="E36" s="39">
        <f t="shared" ref="E36:J36" si="4">SUM(E26:E35)</f>
        <v>867200</v>
      </c>
      <c r="F36" s="39">
        <f t="shared" si="4"/>
        <v>111200</v>
      </c>
      <c r="G36" s="39">
        <f t="shared" si="4"/>
        <v>285700</v>
      </c>
      <c r="H36" s="39">
        <f t="shared" si="4"/>
        <v>56154</v>
      </c>
      <c r="I36" s="39">
        <f t="shared" si="4"/>
        <v>625275.41999999993</v>
      </c>
      <c r="J36" s="39">
        <f t="shared" si="4"/>
        <v>67424.580000000016</v>
      </c>
      <c r="K36" s="22"/>
      <c r="L36" s="21"/>
      <c r="M36" s="22"/>
    </row>
    <row r="37" spans="1:13" ht="21" customHeight="1" x14ac:dyDescent="0.3">
      <c r="A37" s="32" t="s">
        <v>73</v>
      </c>
      <c r="B37" s="33" t="s">
        <v>108</v>
      </c>
      <c r="C37" s="34" t="s">
        <v>109</v>
      </c>
      <c r="D37" s="35"/>
      <c r="E37" s="36">
        <v>80000</v>
      </c>
      <c r="F37" s="36">
        <v>800</v>
      </c>
      <c r="G37" s="37">
        <v>0</v>
      </c>
      <c r="H37" s="37">
        <v>30938</v>
      </c>
      <c r="I37" s="36">
        <f>H37+20691+3470</f>
        <v>55099</v>
      </c>
      <c r="J37" s="36">
        <f t="shared" ref="J37:J42" si="5">E37+F37-G37-I37</f>
        <v>25701</v>
      </c>
      <c r="K37" s="22"/>
      <c r="L37" s="21"/>
      <c r="M37" s="22"/>
    </row>
    <row r="38" spans="1:13" ht="20.25" customHeight="1" x14ac:dyDescent="0.3">
      <c r="A38" s="32" t="s">
        <v>73</v>
      </c>
      <c r="B38" s="33" t="s">
        <v>108</v>
      </c>
      <c r="C38" s="34" t="s">
        <v>110</v>
      </c>
      <c r="D38" s="35"/>
      <c r="E38" s="36">
        <v>20000</v>
      </c>
      <c r="F38" s="36">
        <v>0</v>
      </c>
      <c r="G38" s="37">
        <v>20000</v>
      </c>
      <c r="H38" s="37">
        <v>0</v>
      </c>
      <c r="I38" s="36">
        <f>H38</f>
        <v>0</v>
      </c>
      <c r="J38" s="36">
        <f t="shared" si="5"/>
        <v>0</v>
      </c>
      <c r="K38" s="22"/>
      <c r="L38" s="21"/>
      <c r="M38" s="22"/>
    </row>
    <row r="39" spans="1:13" ht="21" customHeight="1" x14ac:dyDescent="0.3">
      <c r="A39" s="32" t="s">
        <v>73</v>
      </c>
      <c r="B39" s="33" t="s">
        <v>108</v>
      </c>
      <c r="C39" s="34" t="s">
        <v>111</v>
      </c>
      <c r="D39" s="35"/>
      <c r="E39" s="36">
        <v>50000</v>
      </c>
      <c r="F39" s="36">
        <v>40000</v>
      </c>
      <c r="G39" s="37">
        <v>0</v>
      </c>
      <c r="H39" s="37">
        <f>20300+20274</f>
        <v>40574</v>
      </c>
      <c r="I39" s="36">
        <f>H39+20750+7587+20750</f>
        <v>89661</v>
      </c>
      <c r="J39" s="36">
        <f t="shared" si="5"/>
        <v>339</v>
      </c>
      <c r="K39" s="22"/>
      <c r="L39" s="21"/>
      <c r="M39" s="22"/>
    </row>
    <row r="40" spans="1:13" ht="21.75" customHeight="1" x14ac:dyDescent="0.3">
      <c r="A40" s="32" t="s">
        <v>73</v>
      </c>
      <c r="B40" s="33" t="s">
        <v>108</v>
      </c>
      <c r="C40" s="34" t="s">
        <v>112</v>
      </c>
      <c r="D40" s="35"/>
      <c r="E40" s="36">
        <v>250000</v>
      </c>
      <c r="F40" s="36">
        <v>0</v>
      </c>
      <c r="G40" s="37">
        <v>30000</v>
      </c>
      <c r="H40" s="37">
        <f>16200+10800+16200</f>
        <v>43200</v>
      </c>
      <c r="I40" s="36">
        <f>H40+16200+16200+16200+15000+15000+15000+15000+16200+16200</f>
        <v>184200</v>
      </c>
      <c r="J40" s="36">
        <f t="shared" si="5"/>
        <v>35800</v>
      </c>
      <c r="K40" s="22"/>
      <c r="L40" s="21"/>
      <c r="M40" s="22"/>
    </row>
    <row r="41" spans="1:13" ht="21.75" customHeight="1" x14ac:dyDescent="0.3">
      <c r="A41" s="32" t="s">
        <v>73</v>
      </c>
      <c r="B41" s="33" t="s">
        <v>108</v>
      </c>
      <c r="C41" s="34" t="s">
        <v>113</v>
      </c>
      <c r="D41" s="35"/>
      <c r="E41" s="36">
        <v>10000</v>
      </c>
      <c r="F41" s="36">
        <v>0</v>
      </c>
      <c r="G41" s="37">
        <v>0</v>
      </c>
      <c r="H41" s="37">
        <v>9000</v>
      </c>
      <c r="I41" s="36">
        <f>H41</f>
        <v>9000</v>
      </c>
      <c r="J41" s="36">
        <f t="shared" si="5"/>
        <v>1000</v>
      </c>
      <c r="K41" s="22"/>
      <c r="L41" s="21"/>
      <c r="M41" s="22"/>
    </row>
    <row r="42" spans="1:13" ht="21.75" customHeight="1" x14ac:dyDescent="0.3">
      <c r="A42" s="32" t="s">
        <v>73</v>
      </c>
      <c r="B42" s="33" t="s">
        <v>108</v>
      </c>
      <c r="C42" s="34" t="s">
        <v>114</v>
      </c>
      <c r="D42" s="35"/>
      <c r="E42" s="36">
        <v>50000</v>
      </c>
      <c r="F42" s="36">
        <v>21000</v>
      </c>
      <c r="G42" s="37">
        <v>0</v>
      </c>
      <c r="H42" s="37">
        <v>0</v>
      </c>
      <c r="I42" s="36">
        <f>H42+11150+30565</f>
        <v>41715</v>
      </c>
      <c r="J42" s="36">
        <f t="shared" si="5"/>
        <v>29285</v>
      </c>
      <c r="K42" s="22"/>
      <c r="L42" s="21"/>
      <c r="M42" s="22"/>
    </row>
    <row r="43" spans="1:13" ht="23.25" customHeight="1" x14ac:dyDescent="0.3">
      <c r="A43" s="38" t="s">
        <v>115</v>
      </c>
      <c r="B43" s="38"/>
      <c r="C43" s="38"/>
      <c r="D43" s="38"/>
      <c r="E43" s="39">
        <f t="shared" ref="E43:J43" si="6">SUM(E37:E42)</f>
        <v>460000</v>
      </c>
      <c r="F43" s="39">
        <f t="shared" si="6"/>
        <v>61800</v>
      </c>
      <c r="G43" s="39">
        <f t="shared" si="6"/>
        <v>50000</v>
      </c>
      <c r="H43" s="39">
        <f t="shared" si="6"/>
        <v>123712</v>
      </c>
      <c r="I43" s="39">
        <f t="shared" si="6"/>
        <v>379675</v>
      </c>
      <c r="J43" s="39">
        <f t="shared" si="6"/>
        <v>92125</v>
      </c>
      <c r="K43" s="22"/>
      <c r="L43" s="21"/>
      <c r="M43" s="22"/>
    </row>
    <row r="44" spans="1:13" ht="39.950000000000003" customHeight="1" x14ac:dyDescent="0.3">
      <c r="A44" s="32" t="s">
        <v>73</v>
      </c>
      <c r="B44" s="33" t="s">
        <v>116</v>
      </c>
      <c r="C44" s="34" t="s">
        <v>117</v>
      </c>
      <c r="D44" s="35"/>
      <c r="E44" s="36">
        <v>200000</v>
      </c>
      <c r="F44" s="36">
        <v>30000</v>
      </c>
      <c r="G44" s="37">
        <v>0</v>
      </c>
      <c r="H44" s="37">
        <v>15892.9</v>
      </c>
      <c r="I44" s="36">
        <f>H44+19455.41+18082.97+15799.71+17299.74+35979.41+16376.99+17839.48+16583.36+17640.39+18219.44</f>
        <v>209169.80000000005</v>
      </c>
      <c r="J44" s="36">
        <f>E44+F44-G44-I44</f>
        <v>20830.199999999953</v>
      </c>
      <c r="K44" s="22"/>
      <c r="L44" s="21"/>
      <c r="M44" s="22"/>
    </row>
    <row r="45" spans="1:13" ht="39.950000000000003" customHeight="1" x14ac:dyDescent="0.3">
      <c r="A45" s="32" t="s">
        <v>73</v>
      </c>
      <c r="B45" s="33" t="s">
        <v>116</v>
      </c>
      <c r="C45" s="34" t="s">
        <v>118</v>
      </c>
      <c r="D45" s="35"/>
      <c r="E45" s="36">
        <v>10000</v>
      </c>
      <c r="F45" s="36">
        <v>0</v>
      </c>
      <c r="G45" s="37">
        <v>0</v>
      </c>
      <c r="H45" s="37">
        <v>417.3</v>
      </c>
      <c r="I45" s="36">
        <f>H45+950.16+426.93+590.64+455.82+995.1+542.49+513.6+523.23+481.5</f>
        <v>5896.77</v>
      </c>
      <c r="J45" s="36">
        <f>E45+F45-G45-I45</f>
        <v>4103.2299999999996</v>
      </c>
      <c r="K45" s="22"/>
      <c r="L45" s="21"/>
      <c r="M45" s="22"/>
    </row>
    <row r="46" spans="1:13" ht="39.950000000000003" customHeight="1" x14ac:dyDescent="0.3">
      <c r="A46" s="32" t="s">
        <v>73</v>
      </c>
      <c r="B46" s="33" t="s">
        <v>116</v>
      </c>
      <c r="C46" s="34" t="s">
        <v>119</v>
      </c>
      <c r="D46" s="35"/>
      <c r="E46" s="36">
        <v>20000</v>
      </c>
      <c r="F46" s="36">
        <v>0</v>
      </c>
      <c r="G46" s="37">
        <v>0</v>
      </c>
      <c r="H46" s="37">
        <v>6921</v>
      </c>
      <c r="I46" s="36">
        <f>H46+1419+1860+1135+3637+455+312+279+145+891+364</f>
        <v>17418</v>
      </c>
      <c r="J46" s="36">
        <f>E46+F46-G46-I46</f>
        <v>2582</v>
      </c>
      <c r="K46" s="22"/>
      <c r="L46" s="21"/>
      <c r="M46" s="22"/>
    </row>
    <row r="47" spans="1:13" ht="39.950000000000003" customHeight="1" x14ac:dyDescent="0.3">
      <c r="A47" s="32" t="s">
        <v>73</v>
      </c>
      <c r="B47" s="33" t="s">
        <v>116</v>
      </c>
      <c r="C47" s="34" t="s">
        <v>120</v>
      </c>
      <c r="D47" s="35"/>
      <c r="E47" s="36">
        <v>30000</v>
      </c>
      <c r="F47" s="36">
        <v>4000</v>
      </c>
      <c r="G47" s="37">
        <v>0</v>
      </c>
      <c r="H47" s="37">
        <v>3199.3</v>
      </c>
      <c r="I47" s="36">
        <f>H47+6398.6+3199.3+845.3+845.3+6398.6+3199.3+3199.3+3199.3+3199.3</f>
        <v>33683.599999999999</v>
      </c>
      <c r="J47" s="36">
        <f>E47+F47-G47-I47</f>
        <v>316.40000000000146</v>
      </c>
      <c r="K47" s="22"/>
      <c r="L47" s="21"/>
      <c r="M47" s="22"/>
    </row>
    <row r="48" spans="1:13" ht="21.75" customHeight="1" x14ac:dyDescent="0.3">
      <c r="A48" s="38" t="s">
        <v>121</v>
      </c>
      <c r="B48" s="38"/>
      <c r="C48" s="38"/>
      <c r="D48" s="38"/>
      <c r="E48" s="39">
        <f t="shared" ref="E48:J48" si="7">SUM(E44:E47)</f>
        <v>260000</v>
      </c>
      <c r="F48" s="39">
        <f t="shared" si="7"/>
        <v>34000</v>
      </c>
      <c r="G48" s="39">
        <f t="shared" si="7"/>
        <v>0</v>
      </c>
      <c r="H48" s="39">
        <f t="shared" si="7"/>
        <v>26430.499999999996</v>
      </c>
      <c r="I48" s="39">
        <f t="shared" si="7"/>
        <v>266168.17000000004</v>
      </c>
      <c r="J48" s="39">
        <f t="shared" si="7"/>
        <v>27831.829999999954</v>
      </c>
      <c r="K48" s="22"/>
      <c r="L48" s="21"/>
      <c r="M48" s="22"/>
    </row>
    <row r="49" spans="1:13" s="47" customFormat="1" ht="39.950000000000003" customHeight="1" x14ac:dyDescent="0.3">
      <c r="A49" s="42"/>
      <c r="B49" s="43"/>
      <c r="C49" s="44"/>
      <c r="D49" s="45"/>
      <c r="E49" s="46"/>
      <c r="F49" s="46"/>
      <c r="G49" s="46"/>
      <c r="H49" s="46"/>
      <c r="I49" s="46"/>
      <c r="J49" s="46"/>
      <c r="K49" s="21"/>
      <c r="L49" s="21"/>
      <c r="M49" s="21"/>
    </row>
    <row r="50" spans="1:13" s="31" customFormat="1" ht="39.950000000000003" customHeight="1" x14ac:dyDescent="0.3">
      <c r="A50" s="26" t="s">
        <v>63</v>
      </c>
      <c r="B50" s="26" t="s">
        <v>64</v>
      </c>
      <c r="C50" s="27" t="s">
        <v>65</v>
      </c>
      <c r="D50" s="28" t="s">
        <v>66</v>
      </c>
      <c r="E50" s="29" t="s">
        <v>67</v>
      </c>
      <c r="F50" s="29" t="s">
        <v>68</v>
      </c>
      <c r="G50" s="30" t="s">
        <v>69</v>
      </c>
      <c r="H50" s="30" t="s">
        <v>70</v>
      </c>
      <c r="I50" s="29" t="s">
        <v>71</v>
      </c>
      <c r="J50" s="29" t="s">
        <v>72</v>
      </c>
      <c r="K50" s="22"/>
      <c r="L50" s="21"/>
      <c r="M50" s="22"/>
    </row>
    <row r="51" spans="1:13" ht="46.5" customHeight="1" x14ac:dyDescent="0.3">
      <c r="A51" s="32" t="s">
        <v>73</v>
      </c>
      <c r="B51" s="33" t="s">
        <v>122</v>
      </c>
      <c r="C51" s="34" t="s">
        <v>123</v>
      </c>
      <c r="D51" s="35" t="s">
        <v>124</v>
      </c>
      <c r="E51" s="36">
        <v>4350</v>
      </c>
      <c r="F51" s="36">
        <v>0</v>
      </c>
      <c r="G51" s="37">
        <v>0</v>
      </c>
      <c r="H51" s="37">
        <v>0</v>
      </c>
      <c r="I51" s="36">
        <f>H51+4350</f>
        <v>4350</v>
      </c>
      <c r="J51" s="36">
        <f>E51+F51-G51-I51</f>
        <v>0</v>
      </c>
      <c r="K51" s="22"/>
      <c r="L51" s="21"/>
      <c r="M51" s="22"/>
    </row>
    <row r="52" spans="1:13" ht="46.5" customHeight="1" x14ac:dyDescent="0.3">
      <c r="A52" s="32" t="s">
        <v>73</v>
      </c>
      <c r="B52" s="33" t="s">
        <v>122</v>
      </c>
      <c r="C52" s="34" t="s">
        <v>123</v>
      </c>
      <c r="D52" s="35" t="s">
        <v>125</v>
      </c>
      <c r="E52" s="36"/>
      <c r="F52" s="36">
        <v>2500</v>
      </c>
      <c r="G52" s="37"/>
      <c r="H52" s="37">
        <v>0</v>
      </c>
      <c r="I52" s="36">
        <f>H52+2500</f>
        <v>2500</v>
      </c>
      <c r="J52" s="36">
        <f>E52+F52-G52-I52</f>
        <v>0</v>
      </c>
      <c r="K52" s="22"/>
      <c r="L52" s="21"/>
      <c r="M52" s="22"/>
    </row>
    <row r="53" spans="1:13" ht="46.5" customHeight="1" x14ac:dyDescent="0.3">
      <c r="A53" s="32" t="s">
        <v>73</v>
      </c>
      <c r="B53" s="33" t="s">
        <v>122</v>
      </c>
      <c r="C53" s="34" t="s">
        <v>123</v>
      </c>
      <c r="D53" s="35" t="s">
        <v>126</v>
      </c>
      <c r="E53" s="36"/>
      <c r="F53" s="36">
        <v>3800</v>
      </c>
      <c r="G53" s="37"/>
      <c r="H53" s="37">
        <v>0</v>
      </c>
      <c r="I53" s="36">
        <f>H53+3800</f>
        <v>3800</v>
      </c>
      <c r="J53" s="36">
        <f>E53+F53-G53-I53</f>
        <v>0</v>
      </c>
      <c r="K53" s="22"/>
      <c r="L53" s="21"/>
      <c r="M53" s="22"/>
    </row>
    <row r="54" spans="1:13" ht="39.950000000000003" customHeight="1" x14ac:dyDescent="0.3">
      <c r="A54" s="32" t="s">
        <v>73</v>
      </c>
      <c r="B54" s="33" t="s">
        <v>122</v>
      </c>
      <c r="C54" s="34" t="s">
        <v>123</v>
      </c>
      <c r="D54" s="35" t="s">
        <v>127</v>
      </c>
      <c r="E54" s="36"/>
      <c r="F54" s="36">
        <v>5500</v>
      </c>
      <c r="G54" s="37"/>
      <c r="H54" s="37">
        <v>0</v>
      </c>
      <c r="I54" s="36">
        <f>H54+5500</f>
        <v>5500</v>
      </c>
      <c r="J54" s="36">
        <f>E54+F54-G54-I54</f>
        <v>0</v>
      </c>
      <c r="K54" s="22"/>
      <c r="L54" s="21"/>
      <c r="M54" s="22"/>
    </row>
    <row r="55" spans="1:13" ht="47.25" customHeight="1" x14ac:dyDescent="0.3">
      <c r="A55" s="32" t="s">
        <v>73</v>
      </c>
      <c r="B55" s="33" t="s">
        <v>122</v>
      </c>
      <c r="C55" s="34" t="s">
        <v>123</v>
      </c>
      <c r="D55" s="35" t="s">
        <v>128</v>
      </c>
      <c r="E55" s="36">
        <v>16800</v>
      </c>
      <c r="F55" s="36">
        <v>0</v>
      </c>
      <c r="G55" s="37">
        <v>12600</v>
      </c>
      <c r="H55" s="37">
        <v>0</v>
      </c>
      <c r="I55" s="36">
        <f>H55+4200</f>
        <v>4200</v>
      </c>
      <c r="J55" s="36">
        <f t="shared" ref="J55:J60" si="8">E55+F55-G55-I55</f>
        <v>0</v>
      </c>
      <c r="K55" s="22"/>
      <c r="L55" s="21"/>
      <c r="M55" s="22"/>
    </row>
    <row r="56" spans="1:13" ht="78.75" customHeight="1" x14ac:dyDescent="0.3">
      <c r="A56" s="32" t="s">
        <v>73</v>
      </c>
      <c r="B56" s="33" t="s">
        <v>122</v>
      </c>
      <c r="C56" s="34" t="s">
        <v>129</v>
      </c>
      <c r="D56" s="35" t="s">
        <v>130</v>
      </c>
      <c r="E56" s="36">
        <v>28000</v>
      </c>
      <c r="F56" s="36">
        <v>0</v>
      </c>
      <c r="G56" s="37">
        <v>5100</v>
      </c>
      <c r="H56" s="37"/>
      <c r="I56" s="36">
        <f>H56+22900</f>
        <v>22900</v>
      </c>
      <c r="J56" s="36">
        <f t="shared" si="8"/>
        <v>0</v>
      </c>
      <c r="K56" s="22"/>
      <c r="L56" s="21"/>
      <c r="M56" s="22"/>
    </row>
    <row r="57" spans="1:13" ht="39.950000000000003" customHeight="1" x14ac:dyDescent="0.3">
      <c r="A57" s="32" t="s">
        <v>73</v>
      </c>
      <c r="B57" s="33" t="s">
        <v>122</v>
      </c>
      <c r="C57" s="34" t="s">
        <v>131</v>
      </c>
      <c r="D57" s="35" t="s">
        <v>132</v>
      </c>
      <c r="E57" s="36">
        <v>16000</v>
      </c>
      <c r="F57" s="36">
        <v>0</v>
      </c>
      <c r="G57" s="37">
        <v>0</v>
      </c>
      <c r="H57" s="37">
        <v>0</v>
      </c>
      <c r="I57" s="36">
        <f>H57+15750</f>
        <v>15750</v>
      </c>
      <c r="J57" s="36">
        <f t="shared" si="8"/>
        <v>250</v>
      </c>
      <c r="K57" s="22"/>
      <c r="L57" s="21"/>
      <c r="M57" s="22"/>
    </row>
    <row r="58" spans="1:13" ht="64.5" customHeight="1" x14ac:dyDescent="0.3">
      <c r="A58" s="32" t="s">
        <v>73</v>
      </c>
      <c r="B58" s="33" t="s">
        <v>122</v>
      </c>
      <c r="C58" s="34" t="s">
        <v>131</v>
      </c>
      <c r="D58" s="35" t="s">
        <v>133</v>
      </c>
      <c r="E58" s="36">
        <v>4300</v>
      </c>
      <c r="F58" s="36">
        <v>0</v>
      </c>
      <c r="G58" s="37">
        <v>0</v>
      </c>
      <c r="H58" s="37">
        <v>0</v>
      </c>
      <c r="I58" s="36">
        <f>H58+4250</f>
        <v>4250</v>
      </c>
      <c r="J58" s="36">
        <f t="shared" si="8"/>
        <v>50</v>
      </c>
      <c r="K58" s="22"/>
      <c r="L58" s="21"/>
      <c r="M58" s="22"/>
    </row>
    <row r="59" spans="1:13" ht="31.5" customHeight="1" x14ac:dyDescent="0.3">
      <c r="A59" s="32" t="s">
        <v>73</v>
      </c>
      <c r="B59" s="33" t="s">
        <v>122</v>
      </c>
      <c r="C59" s="34" t="s">
        <v>131</v>
      </c>
      <c r="D59" s="35" t="s">
        <v>134</v>
      </c>
      <c r="E59" s="36">
        <v>3100</v>
      </c>
      <c r="F59" s="36">
        <v>0</v>
      </c>
      <c r="G59" s="37">
        <v>0</v>
      </c>
      <c r="H59" s="37">
        <v>0</v>
      </c>
      <c r="I59" s="36">
        <f>H59+3000</f>
        <v>3000</v>
      </c>
      <c r="J59" s="36">
        <f t="shared" si="8"/>
        <v>100</v>
      </c>
      <c r="K59" s="22"/>
      <c r="L59" s="21"/>
      <c r="M59" s="22"/>
    </row>
    <row r="60" spans="1:13" ht="21.75" customHeight="1" x14ac:dyDescent="0.3">
      <c r="A60" s="32" t="s">
        <v>73</v>
      </c>
      <c r="B60" s="33" t="s">
        <v>122</v>
      </c>
      <c r="C60" s="34" t="s">
        <v>135</v>
      </c>
      <c r="D60" s="35"/>
      <c r="E60" s="36">
        <v>150000</v>
      </c>
      <c r="F60" s="36">
        <v>0</v>
      </c>
      <c r="G60" s="37">
        <v>0</v>
      </c>
      <c r="H60" s="37">
        <v>0</v>
      </c>
      <c r="I60" s="36">
        <f>H60+7550+8300+10850+13730+13750+29100</f>
        <v>83280</v>
      </c>
      <c r="J60" s="36">
        <f t="shared" si="8"/>
        <v>66720</v>
      </c>
      <c r="K60" s="22"/>
      <c r="L60" s="21"/>
      <c r="M60" s="22"/>
    </row>
    <row r="61" spans="1:13" ht="20.25" customHeight="1" x14ac:dyDescent="0.3">
      <c r="A61" s="38" t="s">
        <v>136</v>
      </c>
      <c r="B61" s="38"/>
      <c r="C61" s="38"/>
      <c r="D61" s="38"/>
      <c r="E61" s="39">
        <f t="shared" ref="E61:J61" si="9">SUM(E51:E60)</f>
        <v>222550</v>
      </c>
      <c r="F61" s="39">
        <f t="shared" si="9"/>
        <v>11800</v>
      </c>
      <c r="G61" s="39">
        <f t="shared" si="9"/>
        <v>17700</v>
      </c>
      <c r="H61" s="39">
        <f t="shared" si="9"/>
        <v>0</v>
      </c>
      <c r="I61" s="39">
        <f t="shared" si="9"/>
        <v>149530</v>
      </c>
      <c r="J61" s="39">
        <f t="shared" si="9"/>
        <v>67120</v>
      </c>
      <c r="K61" s="22"/>
      <c r="L61" s="21"/>
      <c r="M61" s="22"/>
    </row>
    <row r="62" spans="1:13" s="31" customFormat="1" ht="39.950000000000003" customHeight="1" x14ac:dyDescent="0.3">
      <c r="A62" s="26" t="s">
        <v>63</v>
      </c>
      <c r="B62" s="26" t="s">
        <v>64</v>
      </c>
      <c r="C62" s="27" t="s">
        <v>65</v>
      </c>
      <c r="D62" s="28" t="s">
        <v>66</v>
      </c>
      <c r="E62" s="29" t="s">
        <v>67</v>
      </c>
      <c r="F62" s="29" t="s">
        <v>68</v>
      </c>
      <c r="G62" s="30" t="s">
        <v>69</v>
      </c>
      <c r="H62" s="30" t="s">
        <v>70</v>
      </c>
      <c r="I62" s="29" t="s">
        <v>71</v>
      </c>
      <c r="J62" s="29" t="s">
        <v>72</v>
      </c>
      <c r="K62" s="22"/>
      <c r="L62" s="21"/>
      <c r="M62" s="22"/>
    </row>
    <row r="63" spans="1:13" ht="48" customHeight="1" x14ac:dyDescent="0.3">
      <c r="A63" s="32" t="s">
        <v>73</v>
      </c>
      <c r="B63" s="33" t="s">
        <v>137</v>
      </c>
      <c r="C63" s="34" t="s">
        <v>138</v>
      </c>
      <c r="D63" s="35" t="s">
        <v>139</v>
      </c>
      <c r="E63" s="36">
        <v>1960000</v>
      </c>
      <c r="F63" s="36">
        <v>0</v>
      </c>
      <c r="G63" s="37">
        <v>0</v>
      </c>
      <c r="H63" s="37">
        <v>0</v>
      </c>
      <c r="I63" s="36">
        <v>0</v>
      </c>
      <c r="J63" s="36">
        <f>E63+F63-G63-I63</f>
        <v>1960000</v>
      </c>
      <c r="K63" s="22"/>
      <c r="L63" s="21"/>
      <c r="M63" s="22"/>
    </row>
    <row r="64" spans="1:13" ht="24" customHeight="1" x14ac:dyDescent="0.3">
      <c r="A64" s="38" t="s">
        <v>140</v>
      </c>
      <c r="B64" s="38"/>
      <c r="C64" s="38"/>
      <c r="D64" s="38"/>
      <c r="E64" s="39">
        <f t="shared" ref="E64:J64" si="10">E63</f>
        <v>1960000</v>
      </c>
      <c r="F64" s="39">
        <f t="shared" si="10"/>
        <v>0</v>
      </c>
      <c r="G64" s="39">
        <f t="shared" si="10"/>
        <v>0</v>
      </c>
      <c r="H64" s="39">
        <f t="shared" si="10"/>
        <v>0</v>
      </c>
      <c r="I64" s="39">
        <f t="shared" si="10"/>
        <v>0</v>
      </c>
      <c r="J64" s="39">
        <f t="shared" si="10"/>
        <v>1960000</v>
      </c>
      <c r="K64" s="22"/>
      <c r="L64" s="21"/>
      <c r="M64" s="22"/>
    </row>
    <row r="65" spans="1:13" ht="21.75" customHeight="1" x14ac:dyDescent="0.3">
      <c r="A65" s="32" t="s">
        <v>73</v>
      </c>
      <c r="B65" s="33" t="s">
        <v>141</v>
      </c>
      <c r="C65" s="34" t="s">
        <v>141</v>
      </c>
      <c r="D65" s="35"/>
      <c r="E65" s="36">
        <v>25000</v>
      </c>
      <c r="F65" s="36">
        <v>0</v>
      </c>
      <c r="G65" s="37">
        <v>0</v>
      </c>
      <c r="H65" s="37">
        <v>25000</v>
      </c>
      <c r="I65" s="36">
        <f>H65</f>
        <v>25000</v>
      </c>
      <c r="J65" s="36">
        <f>E65+F65-G65-I65</f>
        <v>0</v>
      </c>
      <c r="K65" s="22"/>
      <c r="L65" s="21"/>
      <c r="M65" s="22"/>
    </row>
    <row r="66" spans="1:13" ht="21.75" customHeight="1" x14ac:dyDescent="0.3">
      <c r="A66" s="38" t="s">
        <v>142</v>
      </c>
      <c r="B66" s="38"/>
      <c r="C66" s="38"/>
      <c r="D66" s="38"/>
      <c r="E66" s="39">
        <f t="shared" ref="E66:J66" si="11">E65</f>
        <v>25000</v>
      </c>
      <c r="F66" s="39">
        <f t="shared" si="11"/>
        <v>0</v>
      </c>
      <c r="G66" s="39">
        <f t="shared" si="11"/>
        <v>0</v>
      </c>
      <c r="H66" s="39">
        <f t="shared" si="11"/>
        <v>25000</v>
      </c>
      <c r="I66" s="39">
        <f t="shared" si="11"/>
        <v>25000</v>
      </c>
      <c r="J66" s="39">
        <f t="shared" si="11"/>
        <v>0</v>
      </c>
      <c r="K66" s="22"/>
      <c r="L66" s="21"/>
      <c r="M66" s="22"/>
    </row>
    <row r="67" spans="1:13" ht="22.5" customHeight="1" x14ac:dyDescent="0.3">
      <c r="A67" s="32" t="s">
        <v>73</v>
      </c>
      <c r="B67" s="33" t="s">
        <v>143</v>
      </c>
      <c r="C67" s="34" t="s">
        <v>144</v>
      </c>
      <c r="D67" s="35"/>
      <c r="E67" s="36">
        <v>20000</v>
      </c>
      <c r="F67" s="36">
        <v>0</v>
      </c>
      <c r="G67" s="37">
        <v>0</v>
      </c>
      <c r="H67" s="37">
        <v>0</v>
      </c>
      <c r="I67" s="36">
        <f>H67+20000</f>
        <v>20000</v>
      </c>
      <c r="J67" s="36">
        <f>E67+F67-G67-I67</f>
        <v>0</v>
      </c>
      <c r="K67" s="22"/>
      <c r="L67" s="21"/>
      <c r="M67" s="22"/>
    </row>
    <row r="68" spans="1:13" ht="21.75" customHeight="1" x14ac:dyDescent="0.3">
      <c r="A68" s="48" t="s">
        <v>145</v>
      </c>
      <c r="B68" s="48"/>
      <c r="C68" s="48"/>
      <c r="D68" s="48"/>
      <c r="E68" s="39">
        <f t="shared" ref="E68:J68" si="12">E67</f>
        <v>20000</v>
      </c>
      <c r="F68" s="39">
        <f t="shared" si="12"/>
        <v>0</v>
      </c>
      <c r="G68" s="39">
        <f t="shared" si="12"/>
        <v>0</v>
      </c>
      <c r="H68" s="39">
        <f t="shared" si="12"/>
        <v>0</v>
      </c>
      <c r="I68" s="39">
        <f t="shared" si="12"/>
        <v>20000</v>
      </c>
      <c r="J68" s="39">
        <f t="shared" si="12"/>
        <v>0</v>
      </c>
      <c r="K68" s="22"/>
      <c r="L68" s="21"/>
      <c r="M68" s="22"/>
    </row>
    <row r="69" spans="1:13" ht="22.5" customHeight="1" x14ac:dyDescent="0.3">
      <c r="A69" s="48" t="s">
        <v>146</v>
      </c>
      <c r="B69" s="48"/>
      <c r="C69" s="48"/>
      <c r="D69" s="48"/>
      <c r="E69" s="39">
        <f t="shared" ref="E69:J69" si="13">E11+E20+E25+E36+E43+E48+E61+E64+E66+E68</f>
        <v>12992320</v>
      </c>
      <c r="F69" s="39">
        <f t="shared" si="13"/>
        <v>462140</v>
      </c>
      <c r="G69" s="39">
        <f t="shared" si="13"/>
        <v>667740</v>
      </c>
      <c r="H69" s="39">
        <f t="shared" si="13"/>
        <v>1316421.5</v>
      </c>
      <c r="I69" s="39">
        <f t="shared" si="13"/>
        <v>10502316.190000001</v>
      </c>
      <c r="J69" s="39">
        <f t="shared" si="13"/>
        <v>2284403.8099999996</v>
      </c>
      <c r="K69" s="22"/>
      <c r="L69" s="21"/>
      <c r="M69" s="22"/>
    </row>
    <row r="70" spans="1:13" ht="39.950000000000003" customHeight="1" x14ac:dyDescent="0.3">
      <c r="A70" s="32" t="s">
        <v>147</v>
      </c>
      <c r="B70" s="33" t="s">
        <v>81</v>
      </c>
      <c r="C70" s="34" t="s">
        <v>82</v>
      </c>
      <c r="D70" s="35"/>
      <c r="E70" s="36">
        <v>1236000</v>
      </c>
      <c r="F70" s="36">
        <v>0</v>
      </c>
      <c r="G70" s="37">
        <v>8200</v>
      </c>
      <c r="H70" s="37">
        <v>88450</v>
      </c>
      <c r="I70" s="36">
        <f>H70+82150+82150+82150+127623.93+86510+86510+88220+88220+88220+88925.33+88450</f>
        <v>1077579.2599999998</v>
      </c>
      <c r="J70" s="36">
        <f>E70+F70-G70-I70</f>
        <v>150220.74000000022</v>
      </c>
      <c r="K70" s="22"/>
      <c r="L70" s="21"/>
      <c r="M70" s="22"/>
    </row>
    <row r="71" spans="1:13" ht="39.950000000000003" customHeight="1" x14ac:dyDescent="0.3">
      <c r="A71" s="32" t="s">
        <v>147</v>
      </c>
      <c r="B71" s="33" t="s">
        <v>81</v>
      </c>
      <c r="C71" s="34" t="s">
        <v>84</v>
      </c>
      <c r="D71" s="35"/>
      <c r="E71" s="36">
        <v>42000</v>
      </c>
      <c r="F71" s="36">
        <v>0</v>
      </c>
      <c r="G71" s="37">
        <v>0</v>
      </c>
      <c r="H71" s="37">
        <v>3500</v>
      </c>
      <c r="I71" s="36">
        <f>H71+3500+3500+3500+3500+3500+3500+3500+3500+3500+3500+3500</f>
        <v>42000</v>
      </c>
      <c r="J71" s="36">
        <f>E71+F71-G71-I71</f>
        <v>0</v>
      </c>
      <c r="K71" s="22"/>
      <c r="L71" s="21"/>
      <c r="M71" s="22"/>
    </row>
    <row r="72" spans="1:13" ht="39.950000000000003" customHeight="1" x14ac:dyDescent="0.3">
      <c r="A72" s="32" t="s">
        <v>147</v>
      </c>
      <c r="B72" s="33" t="s">
        <v>81</v>
      </c>
      <c r="C72" s="34" t="s">
        <v>87</v>
      </c>
      <c r="D72" s="35"/>
      <c r="E72" s="36">
        <v>364800</v>
      </c>
      <c r="F72" s="36">
        <v>8200</v>
      </c>
      <c r="G72" s="37">
        <v>0</v>
      </c>
      <c r="H72" s="37">
        <v>30550</v>
      </c>
      <c r="I72" s="36">
        <f>H72+36950+30550+30550+30550+30550+30550+30550+30550+30550+30550+30550</f>
        <v>373000</v>
      </c>
      <c r="J72" s="36">
        <f>E72+F72-G72-I72</f>
        <v>0</v>
      </c>
      <c r="K72" s="22"/>
      <c r="L72" s="21"/>
      <c r="M72" s="22"/>
    </row>
    <row r="73" spans="1:13" ht="39.950000000000003" customHeight="1" x14ac:dyDescent="0.3">
      <c r="A73" s="32" t="s">
        <v>147</v>
      </c>
      <c r="B73" s="33" t="s">
        <v>81</v>
      </c>
      <c r="C73" s="34" t="s">
        <v>88</v>
      </c>
      <c r="D73" s="35"/>
      <c r="E73" s="36">
        <v>6000</v>
      </c>
      <c r="F73" s="36">
        <v>0</v>
      </c>
      <c r="G73" s="37">
        <v>0</v>
      </c>
      <c r="H73" s="37">
        <v>15</v>
      </c>
      <c r="I73" s="36">
        <f>H73+15+15+15+15+15+15+15+15+15+15+15</f>
        <v>180</v>
      </c>
      <c r="J73" s="36">
        <f>E73+F73-G73-I73</f>
        <v>5820</v>
      </c>
      <c r="K73" s="22"/>
      <c r="L73" s="21"/>
      <c r="M73" s="22"/>
    </row>
    <row r="74" spans="1:13" ht="21.75" customHeight="1" x14ac:dyDescent="0.3">
      <c r="A74" s="38" t="s">
        <v>89</v>
      </c>
      <c r="B74" s="38"/>
      <c r="C74" s="38"/>
      <c r="D74" s="38"/>
      <c r="E74" s="39">
        <f t="shared" ref="E74:J74" si="14">SUM(E70:E73)</f>
        <v>1648800</v>
      </c>
      <c r="F74" s="39">
        <f t="shared" si="14"/>
        <v>8200</v>
      </c>
      <c r="G74" s="39">
        <f t="shared" si="14"/>
        <v>8200</v>
      </c>
      <c r="H74" s="39">
        <f t="shared" si="14"/>
        <v>122515</v>
      </c>
      <c r="I74" s="39">
        <f t="shared" si="14"/>
        <v>1492759.2599999998</v>
      </c>
      <c r="J74" s="39">
        <f t="shared" si="14"/>
        <v>156040.74000000022</v>
      </c>
      <c r="K74" s="22"/>
      <c r="L74" s="21"/>
      <c r="M74" s="22"/>
    </row>
    <row r="75" spans="1:13" ht="33" customHeight="1" x14ac:dyDescent="0.3">
      <c r="A75" s="32" t="s">
        <v>147</v>
      </c>
      <c r="B75" s="33" t="s">
        <v>90</v>
      </c>
      <c r="C75" s="34" t="s">
        <v>91</v>
      </c>
      <c r="D75" s="35"/>
      <c r="E75" s="36">
        <v>133400</v>
      </c>
      <c r="F75" s="36">
        <v>0</v>
      </c>
      <c r="G75" s="37">
        <v>0</v>
      </c>
      <c r="H75" s="37">
        <v>119000</v>
      </c>
      <c r="I75" s="36">
        <f>H75</f>
        <v>119000</v>
      </c>
      <c r="J75" s="36">
        <f>E75+F75-G75-I75</f>
        <v>14400</v>
      </c>
      <c r="K75" s="22"/>
      <c r="L75" s="21"/>
      <c r="M75" s="22"/>
    </row>
    <row r="76" spans="1:13" ht="33" customHeight="1" x14ac:dyDescent="0.3">
      <c r="A76" s="32" t="s">
        <v>147</v>
      </c>
      <c r="B76" s="33" t="s">
        <v>90</v>
      </c>
      <c r="C76" s="34" t="s">
        <v>92</v>
      </c>
      <c r="D76" s="35"/>
      <c r="E76" s="36">
        <v>20000</v>
      </c>
      <c r="F76" s="36">
        <v>0</v>
      </c>
      <c r="G76" s="37">
        <v>0</v>
      </c>
      <c r="H76" s="37">
        <v>0</v>
      </c>
      <c r="I76" s="36">
        <v>0</v>
      </c>
      <c r="J76" s="36">
        <f>E76+F76-G76-I76</f>
        <v>20000</v>
      </c>
      <c r="K76" s="22"/>
      <c r="L76" s="21"/>
      <c r="M76" s="22"/>
    </row>
    <row r="77" spans="1:13" ht="22.5" customHeight="1" x14ac:dyDescent="0.3">
      <c r="A77" s="32" t="s">
        <v>147</v>
      </c>
      <c r="B77" s="33" t="s">
        <v>90</v>
      </c>
      <c r="C77" s="34" t="s">
        <v>93</v>
      </c>
      <c r="D77" s="35"/>
      <c r="E77" s="36">
        <v>156600</v>
      </c>
      <c r="F77" s="36">
        <v>0</v>
      </c>
      <c r="G77" s="37">
        <v>37000</v>
      </c>
      <c r="H77" s="37">
        <v>10800</v>
      </c>
      <c r="I77" s="36">
        <f>H77+10800+10800+10800+10800+10800+10800+10800+10800+10800+10800</f>
        <v>118800</v>
      </c>
      <c r="J77" s="36">
        <f>E77+F77-G77-I77</f>
        <v>800</v>
      </c>
      <c r="K77" s="22"/>
      <c r="L77" s="21"/>
      <c r="M77" s="22"/>
    </row>
    <row r="78" spans="1:13" ht="21.75" customHeight="1" x14ac:dyDescent="0.3">
      <c r="A78" s="32" t="s">
        <v>147</v>
      </c>
      <c r="B78" s="33" t="s">
        <v>90</v>
      </c>
      <c r="C78" s="34" t="s">
        <v>94</v>
      </c>
      <c r="D78" s="35"/>
      <c r="E78" s="36">
        <v>5000</v>
      </c>
      <c r="F78" s="36">
        <v>0</v>
      </c>
      <c r="G78" s="37">
        <v>0</v>
      </c>
      <c r="H78" s="37">
        <v>0</v>
      </c>
      <c r="I78" s="36">
        <v>0</v>
      </c>
      <c r="J78" s="36">
        <f>E78+F78-G78-I78</f>
        <v>5000</v>
      </c>
      <c r="K78" s="22"/>
      <c r="L78" s="21"/>
      <c r="M78" s="22"/>
    </row>
    <row r="79" spans="1:13" ht="21.75" customHeight="1" x14ac:dyDescent="0.3">
      <c r="A79" s="48" t="s">
        <v>95</v>
      </c>
      <c r="B79" s="48"/>
      <c r="C79" s="48"/>
      <c r="D79" s="48"/>
      <c r="E79" s="39">
        <f t="shared" ref="E79:J79" si="15">SUM(E75:E78)</f>
        <v>315000</v>
      </c>
      <c r="F79" s="39">
        <f t="shared" si="15"/>
        <v>0</v>
      </c>
      <c r="G79" s="39">
        <f t="shared" si="15"/>
        <v>37000</v>
      </c>
      <c r="H79" s="39">
        <f t="shared" si="15"/>
        <v>129800</v>
      </c>
      <c r="I79" s="39">
        <f t="shared" si="15"/>
        <v>237800</v>
      </c>
      <c r="J79" s="39">
        <f t="shared" si="15"/>
        <v>40200</v>
      </c>
      <c r="K79" s="22"/>
      <c r="L79" s="21"/>
      <c r="M79" s="22"/>
    </row>
    <row r="80" spans="1:13" s="31" customFormat="1" ht="39.950000000000003" customHeight="1" x14ac:dyDescent="0.3">
      <c r="A80" s="26" t="s">
        <v>63</v>
      </c>
      <c r="B80" s="26" t="s">
        <v>64</v>
      </c>
      <c r="C80" s="27" t="s">
        <v>65</v>
      </c>
      <c r="D80" s="28" t="s">
        <v>66</v>
      </c>
      <c r="E80" s="29" t="s">
        <v>67</v>
      </c>
      <c r="F80" s="29" t="s">
        <v>68</v>
      </c>
      <c r="G80" s="30" t="s">
        <v>69</v>
      </c>
      <c r="H80" s="30" t="s">
        <v>70</v>
      </c>
      <c r="I80" s="29" t="s">
        <v>71</v>
      </c>
      <c r="J80" s="29" t="s">
        <v>72</v>
      </c>
      <c r="K80" s="22"/>
      <c r="L80" s="21"/>
      <c r="M80" s="22"/>
    </row>
    <row r="81" spans="1:13" ht="21.75" customHeight="1" x14ac:dyDescent="0.3">
      <c r="A81" s="32" t="s">
        <v>147</v>
      </c>
      <c r="B81" s="33" t="s">
        <v>96</v>
      </c>
      <c r="C81" s="34" t="s">
        <v>97</v>
      </c>
      <c r="D81" s="35"/>
      <c r="E81" s="36">
        <v>100000</v>
      </c>
      <c r="F81" s="36">
        <v>37000</v>
      </c>
      <c r="G81" s="37">
        <v>0</v>
      </c>
      <c r="H81" s="37">
        <f>8000+8000</f>
        <v>16000</v>
      </c>
      <c r="I81" s="36">
        <f>H81+11600+8000+8000+11200+15800+8000+8000+8000+19700+11800</f>
        <v>126100</v>
      </c>
      <c r="J81" s="36">
        <f t="shared" ref="J81:J86" si="16">E81+F81-G81-I81</f>
        <v>10900</v>
      </c>
      <c r="K81" s="22"/>
      <c r="L81" s="21"/>
      <c r="M81" s="22"/>
    </row>
    <row r="82" spans="1:13" ht="39.950000000000003" customHeight="1" x14ac:dyDescent="0.3">
      <c r="A82" s="32" t="s">
        <v>147</v>
      </c>
      <c r="B82" s="33" t="s">
        <v>96</v>
      </c>
      <c r="C82" s="34" t="s">
        <v>99</v>
      </c>
      <c r="D82" s="35" t="s">
        <v>100</v>
      </c>
      <c r="E82" s="36">
        <v>50000</v>
      </c>
      <c r="F82" s="36">
        <v>0</v>
      </c>
      <c r="G82" s="37">
        <v>0</v>
      </c>
      <c r="H82" s="37">
        <f>1460+524</f>
        <v>1984</v>
      </c>
      <c r="I82" s="36">
        <f>H82+13524+11955+7408</f>
        <v>34871</v>
      </c>
      <c r="J82" s="36">
        <f t="shared" si="16"/>
        <v>15129</v>
      </c>
      <c r="K82" s="22"/>
      <c r="L82" s="21"/>
      <c r="M82" s="22"/>
    </row>
    <row r="83" spans="1:13" ht="54.75" customHeight="1" x14ac:dyDescent="0.3">
      <c r="A83" s="32" t="s">
        <v>147</v>
      </c>
      <c r="B83" s="33" t="s">
        <v>96</v>
      </c>
      <c r="C83" s="34" t="s">
        <v>99</v>
      </c>
      <c r="D83" s="35" t="s">
        <v>148</v>
      </c>
      <c r="E83" s="36">
        <v>500000</v>
      </c>
      <c r="F83" s="36">
        <v>0</v>
      </c>
      <c r="G83" s="37">
        <v>0</v>
      </c>
      <c r="H83" s="37">
        <v>0</v>
      </c>
      <c r="I83" s="36">
        <f>H83</f>
        <v>0</v>
      </c>
      <c r="J83" s="36">
        <f t="shared" si="16"/>
        <v>500000</v>
      </c>
      <c r="K83" s="22"/>
      <c r="L83" s="21"/>
      <c r="M83" s="22"/>
    </row>
    <row r="84" spans="1:13" ht="54" customHeight="1" x14ac:dyDescent="0.3">
      <c r="A84" s="32" t="s">
        <v>147</v>
      </c>
      <c r="B84" s="33" t="s">
        <v>96</v>
      </c>
      <c r="C84" s="34" t="s">
        <v>99</v>
      </c>
      <c r="D84" s="41" t="s">
        <v>149</v>
      </c>
      <c r="E84" s="36">
        <v>20000</v>
      </c>
      <c r="F84" s="36">
        <v>0</v>
      </c>
      <c r="G84" s="37">
        <v>0</v>
      </c>
      <c r="H84" s="37">
        <v>0</v>
      </c>
      <c r="I84" s="36">
        <f>H84+19875</f>
        <v>19875</v>
      </c>
      <c r="J84" s="36">
        <f t="shared" si="16"/>
        <v>125</v>
      </c>
      <c r="K84" s="22"/>
      <c r="L84" s="21"/>
      <c r="M84" s="22"/>
    </row>
    <row r="85" spans="1:13" ht="48.75" customHeight="1" x14ac:dyDescent="0.3">
      <c r="A85" s="32" t="s">
        <v>147</v>
      </c>
      <c r="B85" s="33" t="s">
        <v>96</v>
      </c>
      <c r="C85" s="34" t="s">
        <v>99</v>
      </c>
      <c r="D85" s="35" t="s">
        <v>150</v>
      </c>
      <c r="E85" s="36">
        <v>5000</v>
      </c>
      <c r="F85" s="36">
        <v>0</v>
      </c>
      <c r="G85" s="37">
        <v>0</v>
      </c>
      <c r="H85" s="37">
        <v>0</v>
      </c>
      <c r="I85" s="36">
        <f>H85+225</f>
        <v>225</v>
      </c>
      <c r="J85" s="36">
        <f t="shared" si="16"/>
        <v>4775</v>
      </c>
      <c r="K85" s="22"/>
      <c r="L85" s="21"/>
      <c r="M85" s="22"/>
    </row>
    <row r="86" spans="1:13" ht="21" customHeight="1" x14ac:dyDescent="0.3">
      <c r="A86" s="32" t="s">
        <v>147</v>
      </c>
      <c r="B86" s="33" t="s">
        <v>96</v>
      </c>
      <c r="C86" s="34" t="s">
        <v>106</v>
      </c>
      <c r="D86" s="35"/>
      <c r="E86" s="36">
        <v>20000</v>
      </c>
      <c r="F86" s="36">
        <v>0</v>
      </c>
      <c r="G86" s="37">
        <v>0</v>
      </c>
      <c r="H86" s="37">
        <v>850</v>
      </c>
      <c r="I86" s="36">
        <f>H86</f>
        <v>850</v>
      </c>
      <c r="J86" s="36">
        <f t="shared" si="16"/>
        <v>19150</v>
      </c>
      <c r="K86" s="22"/>
      <c r="L86" s="21"/>
      <c r="M86" s="22"/>
    </row>
    <row r="87" spans="1:13" ht="21" customHeight="1" x14ac:dyDescent="0.3">
      <c r="A87" s="38" t="s">
        <v>107</v>
      </c>
      <c r="B87" s="38"/>
      <c r="C87" s="38"/>
      <c r="D87" s="38"/>
      <c r="E87" s="39">
        <f t="shared" ref="E87:J87" si="17">SUM(E81:E86)</f>
        <v>695000</v>
      </c>
      <c r="F87" s="39">
        <f t="shared" si="17"/>
        <v>37000</v>
      </c>
      <c r="G87" s="39">
        <f t="shared" si="17"/>
        <v>0</v>
      </c>
      <c r="H87" s="39">
        <f t="shared" si="17"/>
        <v>18834</v>
      </c>
      <c r="I87" s="39">
        <f t="shared" si="17"/>
        <v>181921</v>
      </c>
      <c r="J87" s="39">
        <f t="shared" si="17"/>
        <v>550079</v>
      </c>
      <c r="K87" s="22"/>
      <c r="L87" s="21"/>
      <c r="M87" s="22"/>
    </row>
    <row r="88" spans="1:13" ht="21.75" customHeight="1" x14ac:dyDescent="0.3">
      <c r="A88" s="32" t="s">
        <v>147</v>
      </c>
      <c r="B88" s="33" t="s">
        <v>108</v>
      </c>
      <c r="C88" s="34" t="s">
        <v>109</v>
      </c>
      <c r="D88" s="35"/>
      <c r="E88" s="36">
        <v>30000</v>
      </c>
      <c r="F88" s="36">
        <v>0</v>
      </c>
      <c r="G88" s="37">
        <v>0</v>
      </c>
      <c r="H88" s="37">
        <v>3192.15</v>
      </c>
      <c r="I88" s="36">
        <f>H88+18280+7320</f>
        <v>28792.15</v>
      </c>
      <c r="J88" s="36">
        <f>E88+F88-G88-I88</f>
        <v>1207.8499999999985</v>
      </c>
      <c r="K88" s="22"/>
      <c r="L88" s="21"/>
      <c r="M88" s="22"/>
    </row>
    <row r="89" spans="1:13" ht="19.5" customHeight="1" x14ac:dyDescent="0.3">
      <c r="A89" s="32" t="s">
        <v>147</v>
      </c>
      <c r="B89" s="33" t="s">
        <v>108</v>
      </c>
      <c r="C89" s="34" t="s">
        <v>114</v>
      </c>
      <c r="D89" s="35"/>
      <c r="E89" s="36">
        <v>40000</v>
      </c>
      <c r="F89" s="36">
        <v>0</v>
      </c>
      <c r="G89" s="37">
        <v>0</v>
      </c>
      <c r="H89" s="37">
        <v>0</v>
      </c>
      <c r="I89" s="36">
        <f>H89+21079+18430</f>
        <v>39509</v>
      </c>
      <c r="J89" s="36">
        <f>E89+F89-G89-I89</f>
        <v>491</v>
      </c>
      <c r="K89" s="22"/>
      <c r="L89" s="21"/>
      <c r="M89" s="22"/>
    </row>
    <row r="90" spans="1:13" ht="18.75" customHeight="1" x14ac:dyDescent="0.3">
      <c r="A90" s="48" t="s">
        <v>115</v>
      </c>
      <c r="B90" s="48"/>
      <c r="C90" s="48"/>
      <c r="D90" s="48"/>
      <c r="E90" s="39">
        <f t="shared" ref="E90:J90" si="18">SUM(E88:E89)</f>
        <v>70000</v>
      </c>
      <c r="F90" s="39">
        <f t="shared" si="18"/>
        <v>0</v>
      </c>
      <c r="G90" s="39">
        <f t="shared" si="18"/>
        <v>0</v>
      </c>
      <c r="H90" s="39">
        <f t="shared" si="18"/>
        <v>3192.15</v>
      </c>
      <c r="I90" s="39">
        <f t="shared" si="18"/>
        <v>68301.149999999994</v>
      </c>
      <c r="J90" s="39">
        <f t="shared" si="18"/>
        <v>1698.8499999999985</v>
      </c>
      <c r="K90" s="22"/>
      <c r="L90" s="21"/>
      <c r="M90" s="22"/>
    </row>
    <row r="91" spans="1:13" ht="21.75" customHeight="1" x14ac:dyDescent="0.3">
      <c r="A91" s="32" t="s">
        <v>147</v>
      </c>
      <c r="B91" s="33" t="s">
        <v>122</v>
      </c>
      <c r="C91" s="34" t="s">
        <v>135</v>
      </c>
      <c r="D91" s="35"/>
      <c r="E91" s="36">
        <v>20000</v>
      </c>
      <c r="F91" s="36">
        <v>0</v>
      </c>
      <c r="G91" s="37">
        <v>0</v>
      </c>
      <c r="H91" s="37">
        <v>0</v>
      </c>
      <c r="I91" s="36">
        <f>H91+6400</f>
        <v>6400</v>
      </c>
      <c r="J91" s="36">
        <f>E91+F91-G91-I91</f>
        <v>13600</v>
      </c>
      <c r="K91" s="22"/>
      <c r="L91" s="21"/>
      <c r="M91" s="22"/>
    </row>
    <row r="92" spans="1:13" ht="18.75" customHeight="1" x14ac:dyDescent="0.3">
      <c r="A92" s="48" t="s">
        <v>136</v>
      </c>
      <c r="B92" s="48"/>
      <c r="C92" s="48"/>
      <c r="D92" s="48"/>
      <c r="E92" s="39">
        <f t="shared" ref="E92:J92" si="19">E91</f>
        <v>20000</v>
      </c>
      <c r="F92" s="39">
        <f t="shared" si="19"/>
        <v>0</v>
      </c>
      <c r="G92" s="39">
        <f t="shared" si="19"/>
        <v>0</v>
      </c>
      <c r="H92" s="39">
        <f t="shared" si="19"/>
        <v>0</v>
      </c>
      <c r="I92" s="39">
        <f t="shared" si="19"/>
        <v>6400</v>
      </c>
      <c r="J92" s="39">
        <f t="shared" si="19"/>
        <v>13600</v>
      </c>
      <c r="K92" s="22"/>
      <c r="L92" s="21"/>
      <c r="M92" s="22"/>
    </row>
    <row r="93" spans="1:13" ht="18.75" customHeight="1" x14ac:dyDescent="0.3">
      <c r="A93" s="48" t="s">
        <v>151</v>
      </c>
      <c r="B93" s="48"/>
      <c r="C93" s="48"/>
      <c r="D93" s="48"/>
      <c r="E93" s="39">
        <f t="shared" ref="E93:J93" si="20">E74+E79+E87+E90+E92</f>
        <v>2748800</v>
      </c>
      <c r="F93" s="39">
        <f t="shared" si="20"/>
        <v>45200</v>
      </c>
      <c r="G93" s="39">
        <f t="shared" si="20"/>
        <v>45200</v>
      </c>
      <c r="H93" s="39">
        <f t="shared" si="20"/>
        <v>274341.15000000002</v>
      </c>
      <c r="I93" s="39">
        <f t="shared" si="20"/>
        <v>1987181.4099999997</v>
      </c>
      <c r="J93" s="39">
        <f t="shared" si="20"/>
        <v>761618.5900000002</v>
      </c>
      <c r="K93" s="22"/>
      <c r="L93" s="21"/>
      <c r="M93" s="22"/>
    </row>
    <row r="94" spans="1:13" ht="63" customHeight="1" x14ac:dyDescent="0.3">
      <c r="A94" s="32" t="s">
        <v>152</v>
      </c>
      <c r="B94" s="33" t="s">
        <v>96</v>
      </c>
      <c r="C94" s="34" t="s">
        <v>99</v>
      </c>
      <c r="D94" s="35" t="s">
        <v>153</v>
      </c>
      <c r="E94" s="36">
        <v>80000</v>
      </c>
      <c r="F94" s="36">
        <v>5750</v>
      </c>
      <c r="G94" s="37">
        <v>0</v>
      </c>
      <c r="H94" s="37">
        <v>0</v>
      </c>
      <c r="I94" s="36">
        <f>H94+85750</f>
        <v>85750</v>
      </c>
      <c r="J94" s="36">
        <f>E94+F94-G94-I94</f>
        <v>0</v>
      </c>
      <c r="K94" s="22"/>
      <c r="L94" s="21"/>
      <c r="M94" s="22"/>
    </row>
    <row r="95" spans="1:13" ht="55.5" customHeight="1" x14ac:dyDescent="0.3">
      <c r="A95" s="32" t="s">
        <v>152</v>
      </c>
      <c r="B95" s="33" t="s">
        <v>96</v>
      </c>
      <c r="C95" s="34" t="s">
        <v>99</v>
      </c>
      <c r="D95" s="35" t="s">
        <v>154</v>
      </c>
      <c r="E95" s="36">
        <v>50000</v>
      </c>
      <c r="F95" s="36">
        <v>0</v>
      </c>
      <c r="G95" s="37">
        <v>49000</v>
      </c>
      <c r="H95" s="37">
        <v>0</v>
      </c>
      <c r="I95" s="36">
        <f>H95</f>
        <v>0</v>
      </c>
      <c r="J95" s="36">
        <f>E95+F95-G95-I95</f>
        <v>1000</v>
      </c>
      <c r="K95" s="22"/>
      <c r="L95" s="21"/>
      <c r="M95" s="22"/>
    </row>
    <row r="96" spans="1:13" s="31" customFormat="1" ht="39.950000000000003" customHeight="1" x14ac:dyDescent="0.3">
      <c r="A96" s="26" t="s">
        <v>63</v>
      </c>
      <c r="B96" s="26" t="s">
        <v>64</v>
      </c>
      <c r="C96" s="27" t="s">
        <v>65</v>
      </c>
      <c r="D96" s="28" t="s">
        <v>66</v>
      </c>
      <c r="E96" s="29" t="s">
        <v>67</v>
      </c>
      <c r="F96" s="29" t="s">
        <v>68</v>
      </c>
      <c r="G96" s="30" t="s">
        <v>69</v>
      </c>
      <c r="H96" s="30" t="s">
        <v>70</v>
      </c>
      <c r="I96" s="29" t="s">
        <v>71</v>
      </c>
      <c r="J96" s="29" t="s">
        <v>72</v>
      </c>
      <c r="K96" s="22"/>
      <c r="L96" s="21"/>
      <c r="M96" s="22"/>
    </row>
    <row r="97" spans="1:13" ht="70.5" customHeight="1" x14ac:dyDescent="0.3">
      <c r="A97" s="32" t="s">
        <v>152</v>
      </c>
      <c r="B97" s="33" t="s">
        <v>96</v>
      </c>
      <c r="C97" s="34" t="s">
        <v>99</v>
      </c>
      <c r="D97" s="35" t="s">
        <v>155</v>
      </c>
      <c r="E97" s="36">
        <v>320000</v>
      </c>
      <c r="F97" s="36">
        <v>27000</v>
      </c>
      <c r="G97" s="37">
        <v>0</v>
      </c>
      <c r="H97" s="37">
        <f>29760+24000</f>
        <v>53760</v>
      </c>
      <c r="I97" s="36">
        <f>H97+29760+28800+29760+29760+27840+29760+58560+58560</f>
        <v>346560</v>
      </c>
      <c r="J97" s="36">
        <f>E97+F97-G97-I97</f>
        <v>440</v>
      </c>
      <c r="K97" s="22"/>
      <c r="L97" s="21"/>
      <c r="M97" s="22"/>
    </row>
    <row r="98" spans="1:13" ht="63.75" customHeight="1" x14ac:dyDescent="0.3">
      <c r="A98" s="32" t="s">
        <v>152</v>
      </c>
      <c r="B98" s="33" t="s">
        <v>96</v>
      </c>
      <c r="C98" s="34" t="s">
        <v>99</v>
      </c>
      <c r="D98" s="35" t="s">
        <v>156</v>
      </c>
      <c r="E98" s="36">
        <v>85000</v>
      </c>
      <c r="F98" s="36">
        <v>0</v>
      </c>
      <c r="G98" s="37">
        <v>5000</v>
      </c>
      <c r="H98" s="37">
        <v>0</v>
      </c>
      <c r="I98" s="36">
        <f>H98+21900+17920+21900+17920</f>
        <v>79640</v>
      </c>
      <c r="J98" s="36">
        <f>E98+F98-G98-I98</f>
        <v>360</v>
      </c>
      <c r="K98" s="22"/>
      <c r="L98" s="21"/>
      <c r="M98" s="22"/>
    </row>
    <row r="99" spans="1:13" ht="70.5" customHeight="1" x14ac:dyDescent="0.3">
      <c r="A99" s="32" t="s">
        <v>152</v>
      </c>
      <c r="B99" s="33" t="s">
        <v>96</v>
      </c>
      <c r="C99" s="34" t="s">
        <v>99</v>
      </c>
      <c r="D99" s="35" t="s">
        <v>157</v>
      </c>
      <c r="E99" s="36">
        <v>20000</v>
      </c>
      <c r="F99" s="36">
        <v>0</v>
      </c>
      <c r="G99" s="37">
        <f>15000+5000</f>
        <v>20000</v>
      </c>
      <c r="H99" s="37">
        <v>0</v>
      </c>
      <c r="I99" s="36">
        <f>H99</f>
        <v>0</v>
      </c>
      <c r="J99" s="36">
        <f>E99+F99-G99-I99</f>
        <v>0</v>
      </c>
      <c r="K99" s="22"/>
      <c r="L99" s="21"/>
      <c r="M99" s="22"/>
    </row>
    <row r="100" spans="1:13" ht="21" customHeight="1" x14ac:dyDescent="0.3">
      <c r="A100" s="48" t="s">
        <v>107</v>
      </c>
      <c r="B100" s="48"/>
      <c r="C100" s="48"/>
      <c r="D100" s="48"/>
      <c r="E100" s="39">
        <f t="shared" ref="E100:J100" si="21">SUM(E94:E99)</f>
        <v>555000</v>
      </c>
      <c r="F100" s="39">
        <f t="shared" si="21"/>
        <v>32750</v>
      </c>
      <c r="G100" s="39">
        <f t="shared" si="21"/>
        <v>74000</v>
      </c>
      <c r="H100" s="39">
        <f t="shared" si="21"/>
        <v>53760</v>
      </c>
      <c r="I100" s="39">
        <f t="shared" si="21"/>
        <v>511950</v>
      </c>
      <c r="J100" s="39">
        <f t="shared" si="21"/>
        <v>1800</v>
      </c>
      <c r="K100" s="22"/>
      <c r="L100" s="21"/>
      <c r="M100" s="22"/>
    </row>
    <row r="101" spans="1:13" ht="24.75" customHeight="1" x14ac:dyDescent="0.3">
      <c r="A101" s="38" t="s">
        <v>158</v>
      </c>
      <c r="B101" s="38"/>
      <c r="C101" s="38"/>
      <c r="D101" s="38"/>
      <c r="E101" s="39">
        <f t="shared" ref="E101:J101" si="22">E100</f>
        <v>555000</v>
      </c>
      <c r="F101" s="39">
        <f t="shared" si="22"/>
        <v>32750</v>
      </c>
      <c r="G101" s="39">
        <f t="shared" si="22"/>
        <v>74000</v>
      </c>
      <c r="H101" s="39">
        <f t="shared" si="22"/>
        <v>53760</v>
      </c>
      <c r="I101" s="39">
        <f t="shared" si="22"/>
        <v>511950</v>
      </c>
      <c r="J101" s="39">
        <f t="shared" si="22"/>
        <v>1800</v>
      </c>
      <c r="K101" s="22"/>
      <c r="L101" s="21"/>
      <c r="M101" s="22"/>
    </row>
    <row r="102" spans="1:13" ht="39.950000000000003" customHeight="1" x14ac:dyDescent="0.3">
      <c r="A102" s="32" t="s">
        <v>159</v>
      </c>
      <c r="B102" s="33" t="s">
        <v>81</v>
      </c>
      <c r="C102" s="34" t="s">
        <v>82</v>
      </c>
      <c r="D102" s="35"/>
      <c r="E102" s="36">
        <v>561660</v>
      </c>
      <c r="F102" s="36">
        <v>0</v>
      </c>
      <c r="G102" s="37">
        <v>225000</v>
      </c>
      <c r="H102" s="37">
        <v>27480</v>
      </c>
      <c r="I102" s="36">
        <f>H102+25190+25190+25190+38070+26120+26120+27480+27480+27480+27480+27480</f>
        <v>330760</v>
      </c>
      <c r="J102" s="36">
        <f>E102+F102-G102-I102</f>
        <v>5900</v>
      </c>
      <c r="K102" s="22"/>
      <c r="L102" s="21"/>
      <c r="M102" s="22"/>
    </row>
    <row r="103" spans="1:13" ht="39.950000000000003" customHeight="1" x14ac:dyDescent="0.3">
      <c r="A103" s="32" t="s">
        <v>159</v>
      </c>
      <c r="B103" s="33" t="s">
        <v>81</v>
      </c>
      <c r="C103" s="34" t="s">
        <v>84</v>
      </c>
      <c r="D103" s="35"/>
      <c r="E103" s="36">
        <v>42000</v>
      </c>
      <c r="F103" s="36">
        <v>0</v>
      </c>
      <c r="G103" s="37">
        <v>0</v>
      </c>
      <c r="H103" s="37">
        <v>3500</v>
      </c>
      <c r="I103" s="36">
        <f>H103+3500+3500+3500+3500+3500+3500+3500+3500+3500+3500+3500</f>
        <v>42000</v>
      </c>
      <c r="J103" s="36">
        <f>E103+F103-G103-I103</f>
        <v>0</v>
      </c>
      <c r="K103" s="22"/>
      <c r="L103" s="21"/>
      <c r="M103" s="22"/>
    </row>
    <row r="104" spans="1:13" ht="39.950000000000003" customHeight="1" x14ac:dyDescent="0.3">
      <c r="A104" s="32" t="s">
        <v>159</v>
      </c>
      <c r="B104" s="33" t="s">
        <v>81</v>
      </c>
      <c r="C104" s="34" t="s">
        <v>87</v>
      </c>
      <c r="D104" s="35"/>
      <c r="E104" s="36">
        <v>434760</v>
      </c>
      <c r="F104" s="36">
        <v>10000</v>
      </c>
      <c r="G104" s="37">
        <v>24000</v>
      </c>
      <c r="H104" s="37">
        <v>34970</v>
      </c>
      <c r="I104" s="36">
        <f>H104+34882.9+34970+34970+34970+34970+34970+34970+34970+34970+34970+34970</f>
        <v>419552.9</v>
      </c>
      <c r="J104" s="36">
        <f>E104+F104-G104-I104</f>
        <v>1207.0999999999767</v>
      </c>
      <c r="K104" s="22"/>
      <c r="L104" s="21"/>
      <c r="M104" s="22"/>
    </row>
    <row r="105" spans="1:13" ht="39.950000000000003" customHeight="1" x14ac:dyDescent="0.3">
      <c r="A105" s="32" t="s">
        <v>159</v>
      </c>
      <c r="B105" s="33" t="s">
        <v>81</v>
      </c>
      <c r="C105" s="34" t="s">
        <v>88</v>
      </c>
      <c r="D105" s="35"/>
      <c r="E105" s="36">
        <v>0</v>
      </c>
      <c r="F105" s="36">
        <v>24000</v>
      </c>
      <c r="G105" s="37">
        <v>0</v>
      </c>
      <c r="H105" s="37">
        <v>2000</v>
      </c>
      <c r="I105" s="36">
        <f>H105+1290.32+2000+2000+2000+2000+2000+2000+2000+2000+2000+2000</f>
        <v>23290.32</v>
      </c>
      <c r="J105" s="36">
        <f>E105+F105-G105-I105</f>
        <v>709.68000000000029</v>
      </c>
      <c r="K105" s="22"/>
      <c r="L105" s="21"/>
      <c r="M105" s="22"/>
    </row>
    <row r="106" spans="1:13" ht="22.5" customHeight="1" x14ac:dyDescent="0.3">
      <c r="A106" s="38" t="s">
        <v>89</v>
      </c>
      <c r="B106" s="38"/>
      <c r="C106" s="38"/>
      <c r="D106" s="38"/>
      <c r="E106" s="39">
        <f t="shared" ref="E106:J106" si="23">SUM(E102:E105)</f>
        <v>1038420</v>
      </c>
      <c r="F106" s="39">
        <f t="shared" si="23"/>
        <v>34000</v>
      </c>
      <c r="G106" s="39">
        <f t="shared" si="23"/>
        <v>249000</v>
      </c>
      <c r="H106" s="39">
        <f t="shared" si="23"/>
        <v>67950</v>
      </c>
      <c r="I106" s="39">
        <f t="shared" si="23"/>
        <v>815603.22</v>
      </c>
      <c r="J106" s="39">
        <f t="shared" si="23"/>
        <v>7816.779999999977</v>
      </c>
      <c r="K106" s="22"/>
      <c r="L106" s="21"/>
      <c r="M106" s="22"/>
    </row>
    <row r="107" spans="1:13" ht="22.5" customHeight="1" x14ac:dyDescent="0.3">
      <c r="A107" s="49"/>
      <c r="B107" s="49"/>
      <c r="C107" s="49"/>
      <c r="D107" s="49"/>
      <c r="E107" s="46"/>
      <c r="F107" s="46"/>
      <c r="G107" s="46"/>
      <c r="H107" s="46"/>
      <c r="I107" s="46"/>
      <c r="J107" s="46"/>
      <c r="K107" s="22"/>
      <c r="L107" s="21"/>
      <c r="M107" s="22"/>
    </row>
    <row r="108" spans="1:13" ht="22.5" customHeight="1" x14ac:dyDescent="0.3">
      <c r="A108" s="21"/>
      <c r="B108" s="21"/>
      <c r="C108" s="21"/>
      <c r="D108" s="21"/>
      <c r="E108" s="50"/>
      <c r="F108" s="50"/>
      <c r="G108" s="50"/>
      <c r="H108" s="50"/>
      <c r="I108" s="50"/>
      <c r="J108" s="50"/>
      <c r="K108" s="22"/>
      <c r="L108" s="21"/>
      <c r="M108" s="22"/>
    </row>
    <row r="109" spans="1:13" s="31" customFormat="1" ht="39.950000000000003" customHeight="1" x14ac:dyDescent="0.3">
      <c r="A109" s="26" t="s">
        <v>63</v>
      </c>
      <c r="B109" s="26" t="s">
        <v>64</v>
      </c>
      <c r="C109" s="27" t="s">
        <v>65</v>
      </c>
      <c r="D109" s="28" t="s">
        <v>66</v>
      </c>
      <c r="E109" s="29" t="s">
        <v>67</v>
      </c>
      <c r="F109" s="29" t="s">
        <v>68</v>
      </c>
      <c r="G109" s="30" t="s">
        <v>69</v>
      </c>
      <c r="H109" s="30" t="s">
        <v>70</v>
      </c>
      <c r="I109" s="29" t="s">
        <v>71</v>
      </c>
      <c r="J109" s="29" t="s">
        <v>72</v>
      </c>
      <c r="K109" s="22"/>
      <c r="L109" s="21"/>
      <c r="M109" s="22"/>
    </row>
    <row r="110" spans="1:13" ht="39.950000000000003" customHeight="1" x14ac:dyDescent="0.3">
      <c r="A110" s="32" t="s">
        <v>159</v>
      </c>
      <c r="B110" s="33" t="s">
        <v>90</v>
      </c>
      <c r="C110" s="34" t="s">
        <v>91</v>
      </c>
      <c r="D110" s="35"/>
      <c r="E110" s="36">
        <v>164400</v>
      </c>
      <c r="F110" s="36">
        <v>0</v>
      </c>
      <c r="G110" s="37">
        <v>0</v>
      </c>
      <c r="H110" s="37">
        <v>144180</v>
      </c>
      <c r="I110" s="36">
        <f>H110</f>
        <v>144180</v>
      </c>
      <c r="J110" s="36">
        <f>E110+F110-G110-I110</f>
        <v>20220</v>
      </c>
      <c r="K110" s="22"/>
      <c r="L110" s="21"/>
      <c r="M110" s="22"/>
    </row>
    <row r="111" spans="1:13" ht="39.950000000000003" customHeight="1" x14ac:dyDescent="0.3">
      <c r="A111" s="32" t="s">
        <v>159</v>
      </c>
      <c r="B111" s="33" t="s">
        <v>90</v>
      </c>
      <c r="C111" s="34" t="s">
        <v>92</v>
      </c>
      <c r="D111" s="35"/>
      <c r="E111" s="36">
        <v>10000</v>
      </c>
      <c r="F111" s="36">
        <v>0</v>
      </c>
      <c r="G111" s="37">
        <v>10000</v>
      </c>
      <c r="H111" s="37">
        <v>0</v>
      </c>
      <c r="I111" s="36">
        <v>0</v>
      </c>
      <c r="J111" s="36">
        <f>E111+F111-G111-I111</f>
        <v>0</v>
      </c>
      <c r="K111" s="22"/>
      <c r="L111" s="21"/>
      <c r="M111" s="22"/>
    </row>
    <row r="112" spans="1:13" ht="39.950000000000003" customHeight="1" x14ac:dyDescent="0.3">
      <c r="A112" s="32" t="s">
        <v>159</v>
      </c>
      <c r="B112" s="33" t="s">
        <v>90</v>
      </c>
      <c r="C112" s="34" t="s">
        <v>93</v>
      </c>
      <c r="D112" s="35"/>
      <c r="E112" s="36">
        <v>36000</v>
      </c>
      <c r="F112" s="36">
        <v>0</v>
      </c>
      <c r="G112" s="37">
        <v>0</v>
      </c>
      <c r="H112" s="37">
        <v>3000</v>
      </c>
      <c r="I112" s="36">
        <f>H112+3000+3000+3000+3000+3000+3000+3000+3000+3000+3000</f>
        <v>33000</v>
      </c>
      <c r="J112" s="36">
        <f>E112+F112-G112-I112</f>
        <v>3000</v>
      </c>
      <c r="K112" s="22"/>
      <c r="L112" s="21"/>
      <c r="M112" s="22"/>
    </row>
    <row r="113" spans="1:13" ht="22.5" customHeight="1" x14ac:dyDescent="0.3">
      <c r="A113" s="48" t="s">
        <v>95</v>
      </c>
      <c r="B113" s="48"/>
      <c r="C113" s="48"/>
      <c r="D113" s="48"/>
      <c r="E113" s="39">
        <f t="shared" ref="E113:J113" si="24">SUM(E110:E112)</f>
        <v>210400</v>
      </c>
      <c r="F113" s="39">
        <f t="shared" si="24"/>
        <v>0</v>
      </c>
      <c r="G113" s="39">
        <f t="shared" si="24"/>
        <v>10000</v>
      </c>
      <c r="H113" s="39">
        <f t="shared" si="24"/>
        <v>147180</v>
      </c>
      <c r="I113" s="39">
        <f t="shared" si="24"/>
        <v>177180</v>
      </c>
      <c r="J113" s="39">
        <f t="shared" si="24"/>
        <v>23220</v>
      </c>
      <c r="K113" s="22"/>
      <c r="L113" s="21"/>
      <c r="M113" s="22"/>
    </row>
    <row r="114" spans="1:13" ht="39.950000000000003" customHeight="1" x14ac:dyDescent="0.3">
      <c r="A114" s="32" t="s">
        <v>159</v>
      </c>
      <c r="B114" s="33" t="s">
        <v>96</v>
      </c>
      <c r="C114" s="34" t="s">
        <v>97</v>
      </c>
      <c r="D114" s="35"/>
      <c r="E114" s="36">
        <v>30000</v>
      </c>
      <c r="F114" s="36">
        <v>0</v>
      </c>
      <c r="G114" s="37">
        <v>0</v>
      </c>
      <c r="H114" s="37">
        <v>0</v>
      </c>
      <c r="I114" s="36">
        <f>H114+3200+3800+7700</f>
        <v>14700</v>
      </c>
      <c r="J114" s="36">
        <f>E114+F114-G114-I114</f>
        <v>15300</v>
      </c>
      <c r="K114" s="22"/>
      <c r="L114" s="21"/>
      <c r="M114" s="22"/>
    </row>
    <row r="115" spans="1:13" ht="46.5" customHeight="1" x14ac:dyDescent="0.3">
      <c r="A115" s="32" t="s">
        <v>159</v>
      </c>
      <c r="B115" s="33" t="s">
        <v>96</v>
      </c>
      <c r="C115" s="34" t="s">
        <v>99</v>
      </c>
      <c r="D115" s="35" t="s">
        <v>100</v>
      </c>
      <c r="E115" s="36">
        <v>60000</v>
      </c>
      <c r="F115" s="36">
        <v>0</v>
      </c>
      <c r="G115" s="37">
        <v>20000</v>
      </c>
      <c r="H115" s="37">
        <f>2400+1300+1460</f>
        <v>5160</v>
      </c>
      <c r="I115" s="36">
        <f>H115+9214+1600</f>
        <v>15974</v>
      </c>
      <c r="J115" s="36">
        <f>E115+F115-G115-I115</f>
        <v>24026</v>
      </c>
      <c r="K115" s="22"/>
      <c r="L115" s="21"/>
      <c r="M115" s="22"/>
    </row>
    <row r="116" spans="1:13" ht="50.25" customHeight="1" x14ac:dyDescent="0.3">
      <c r="A116" s="32" t="s">
        <v>159</v>
      </c>
      <c r="B116" s="33" t="s">
        <v>96</v>
      </c>
      <c r="C116" s="34" t="s">
        <v>99</v>
      </c>
      <c r="D116" s="35" t="s">
        <v>160</v>
      </c>
      <c r="E116" s="36">
        <v>12000</v>
      </c>
      <c r="F116" s="36">
        <v>0</v>
      </c>
      <c r="G116" s="37">
        <v>0</v>
      </c>
      <c r="H116" s="37">
        <v>0</v>
      </c>
      <c r="I116" s="36">
        <f>H116+11990</f>
        <v>11990</v>
      </c>
      <c r="J116" s="36">
        <f>E116+F116-G116-I116</f>
        <v>10</v>
      </c>
      <c r="K116" s="22"/>
      <c r="L116" s="21"/>
      <c r="M116" s="22"/>
    </row>
    <row r="117" spans="1:13" ht="39.950000000000003" customHeight="1" x14ac:dyDescent="0.3">
      <c r="A117" s="32" t="s">
        <v>159</v>
      </c>
      <c r="B117" s="33" t="s">
        <v>96</v>
      </c>
      <c r="C117" s="34" t="s">
        <v>106</v>
      </c>
      <c r="D117" s="35"/>
      <c r="E117" s="36">
        <v>20000</v>
      </c>
      <c r="F117" s="36">
        <v>0</v>
      </c>
      <c r="G117" s="37">
        <v>15000</v>
      </c>
      <c r="H117" s="37">
        <v>0</v>
      </c>
      <c r="I117" s="36">
        <v>0</v>
      </c>
      <c r="J117" s="36">
        <f>E117+F117-G117-I117</f>
        <v>5000</v>
      </c>
      <c r="K117" s="22"/>
      <c r="L117" s="21"/>
      <c r="M117" s="22"/>
    </row>
    <row r="118" spans="1:13" ht="21.75" customHeight="1" x14ac:dyDescent="0.3">
      <c r="A118" s="48" t="s">
        <v>107</v>
      </c>
      <c r="B118" s="48"/>
      <c r="C118" s="48"/>
      <c r="D118" s="48"/>
      <c r="E118" s="39">
        <f t="shared" ref="E118:J118" si="25">SUM(E114:E117)</f>
        <v>122000</v>
      </c>
      <c r="F118" s="39">
        <f t="shared" si="25"/>
        <v>0</v>
      </c>
      <c r="G118" s="39">
        <f t="shared" si="25"/>
        <v>35000</v>
      </c>
      <c r="H118" s="39">
        <f>SUM(H114:H117)</f>
        <v>5160</v>
      </c>
      <c r="I118" s="39">
        <f t="shared" si="25"/>
        <v>42664</v>
      </c>
      <c r="J118" s="39">
        <f t="shared" si="25"/>
        <v>44336</v>
      </c>
      <c r="K118" s="22"/>
      <c r="L118" s="21"/>
      <c r="M118" s="22"/>
    </row>
    <row r="119" spans="1:13" ht="39.950000000000003" customHeight="1" x14ac:dyDescent="0.3">
      <c r="A119" s="32" t="s">
        <v>159</v>
      </c>
      <c r="B119" s="33" t="s">
        <v>108</v>
      </c>
      <c r="C119" s="34" t="s">
        <v>109</v>
      </c>
      <c r="D119" s="35"/>
      <c r="E119" s="36">
        <v>20000</v>
      </c>
      <c r="F119" s="36">
        <v>0</v>
      </c>
      <c r="G119" s="37">
        <v>0</v>
      </c>
      <c r="H119" s="37">
        <v>19343</v>
      </c>
      <c r="I119" s="36">
        <f>H119</f>
        <v>19343</v>
      </c>
      <c r="J119" s="36">
        <f>E119+F119-G119-I119</f>
        <v>657</v>
      </c>
      <c r="K119" s="22"/>
      <c r="L119" s="21"/>
      <c r="M119" s="22"/>
    </row>
    <row r="120" spans="1:13" ht="39.950000000000003" customHeight="1" x14ac:dyDescent="0.3">
      <c r="A120" s="32" t="s">
        <v>159</v>
      </c>
      <c r="B120" s="33" t="s">
        <v>108</v>
      </c>
      <c r="C120" s="34" t="s">
        <v>111</v>
      </c>
      <c r="D120" s="35"/>
      <c r="E120" s="36"/>
      <c r="F120" s="36">
        <v>30000</v>
      </c>
      <c r="G120" s="37"/>
      <c r="H120" s="37">
        <v>0</v>
      </c>
      <c r="I120" s="36">
        <f>H120+8700</f>
        <v>8700</v>
      </c>
      <c r="J120" s="36">
        <f>E120+F120-G120-I120</f>
        <v>21300</v>
      </c>
      <c r="K120" s="22"/>
      <c r="L120" s="21"/>
      <c r="M120" s="22"/>
    </row>
    <row r="121" spans="1:13" ht="39.950000000000003" customHeight="1" x14ac:dyDescent="0.3">
      <c r="A121" s="32" t="s">
        <v>159</v>
      </c>
      <c r="B121" s="33" t="s">
        <v>108</v>
      </c>
      <c r="C121" s="34" t="s">
        <v>114</v>
      </c>
      <c r="D121" s="35"/>
      <c r="E121" s="36">
        <v>20000</v>
      </c>
      <c r="F121" s="36">
        <v>15000</v>
      </c>
      <c r="G121" s="37">
        <v>0</v>
      </c>
      <c r="H121" s="37">
        <v>13680</v>
      </c>
      <c r="I121" s="36">
        <f>H121+15010</f>
        <v>28690</v>
      </c>
      <c r="J121" s="36">
        <f>E121+F121-G121-I121</f>
        <v>6310</v>
      </c>
      <c r="K121" s="22"/>
      <c r="L121" s="21"/>
      <c r="M121" s="22"/>
    </row>
    <row r="122" spans="1:13" ht="20.25" customHeight="1" x14ac:dyDescent="0.3">
      <c r="A122" s="48" t="s">
        <v>115</v>
      </c>
      <c r="B122" s="48"/>
      <c r="C122" s="48"/>
      <c r="D122" s="48"/>
      <c r="E122" s="39">
        <f t="shared" ref="E122:J122" si="26">SUM(E119:E121)</f>
        <v>40000</v>
      </c>
      <c r="F122" s="39">
        <f t="shared" si="26"/>
        <v>45000</v>
      </c>
      <c r="G122" s="39">
        <f t="shared" si="26"/>
        <v>0</v>
      </c>
      <c r="H122" s="39">
        <f t="shared" si="26"/>
        <v>33023</v>
      </c>
      <c r="I122" s="39">
        <f t="shared" si="26"/>
        <v>56733</v>
      </c>
      <c r="J122" s="39">
        <f t="shared" si="26"/>
        <v>28267</v>
      </c>
      <c r="K122" s="22"/>
      <c r="L122" s="21"/>
      <c r="M122" s="22"/>
    </row>
    <row r="123" spans="1:13" s="31" customFormat="1" ht="39.950000000000003" customHeight="1" x14ac:dyDescent="0.3">
      <c r="A123" s="26" t="s">
        <v>63</v>
      </c>
      <c r="B123" s="26" t="s">
        <v>64</v>
      </c>
      <c r="C123" s="27" t="s">
        <v>65</v>
      </c>
      <c r="D123" s="28" t="s">
        <v>66</v>
      </c>
      <c r="E123" s="29" t="s">
        <v>67</v>
      </c>
      <c r="F123" s="29" t="s">
        <v>68</v>
      </c>
      <c r="G123" s="30" t="s">
        <v>69</v>
      </c>
      <c r="H123" s="30" t="s">
        <v>70</v>
      </c>
      <c r="I123" s="29" t="s">
        <v>71</v>
      </c>
      <c r="J123" s="29" t="s">
        <v>72</v>
      </c>
      <c r="K123" s="22"/>
      <c r="L123" s="21"/>
      <c r="M123" s="22"/>
    </row>
    <row r="124" spans="1:13" ht="48.75" customHeight="1" x14ac:dyDescent="0.3">
      <c r="A124" s="32" t="s">
        <v>159</v>
      </c>
      <c r="B124" s="33" t="s">
        <v>122</v>
      </c>
      <c r="C124" s="34" t="s">
        <v>161</v>
      </c>
      <c r="D124" s="35" t="s">
        <v>162</v>
      </c>
      <c r="E124" s="36">
        <v>7000</v>
      </c>
      <c r="F124" s="36">
        <v>0</v>
      </c>
      <c r="G124" s="37">
        <v>0</v>
      </c>
      <c r="H124" s="37">
        <v>0</v>
      </c>
      <c r="I124" s="36">
        <f>H124+7000</f>
        <v>7000</v>
      </c>
      <c r="J124" s="36">
        <f>E124+F124-G124-I124</f>
        <v>0</v>
      </c>
      <c r="K124" s="22"/>
      <c r="L124" s="21"/>
      <c r="M124" s="22"/>
    </row>
    <row r="125" spans="1:13" ht="39.950000000000003" customHeight="1" x14ac:dyDescent="0.3">
      <c r="A125" s="32" t="s">
        <v>159</v>
      </c>
      <c r="B125" s="33" t="s">
        <v>122</v>
      </c>
      <c r="C125" s="34" t="s">
        <v>131</v>
      </c>
      <c r="D125" s="35" t="s">
        <v>132</v>
      </c>
      <c r="E125" s="36">
        <v>16000</v>
      </c>
      <c r="F125" s="36">
        <v>0</v>
      </c>
      <c r="G125" s="37">
        <v>0</v>
      </c>
      <c r="H125" s="37">
        <v>0</v>
      </c>
      <c r="I125" s="36">
        <f>H125+15750</f>
        <v>15750</v>
      </c>
      <c r="J125" s="36">
        <f>E125+F125-G125-I125</f>
        <v>250</v>
      </c>
      <c r="K125" s="22"/>
      <c r="L125" s="21"/>
      <c r="M125" s="22"/>
    </row>
    <row r="126" spans="1:13" ht="39.950000000000003" customHeight="1" x14ac:dyDescent="0.3">
      <c r="A126" s="32" t="s">
        <v>159</v>
      </c>
      <c r="B126" s="33" t="s">
        <v>122</v>
      </c>
      <c r="C126" s="34" t="s">
        <v>131</v>
      </c>
      <c r="D126" s="35" t="s">
        <v>163</v>
      </c>
      <c r="E126" s="36">
        <v>21000</v>
      </c>
      <c r="F126" s="36">
        <v>0</v>
      </c>
      <c r="G126" s="37">
        <v>0</v>
      </c>
      <c r="H126" s="37">
        <v>0</v>
      </c>
      <c r="I126" s="36">
        <f>H126+20850</f>
        <v>20850</v>
      </c>
      <c r="J126" s="36">
        <f>E126+F126-G126-I126</f>
        <v>150</v>
      </c>
      <c r="K126" s="22"/>
      <c r="L126" s="21"/>
      <c r="M126" s="22"/>
    </row>
    <row r="127" spans="1:13" ht="65.25" customHeight="1" x14ac:dyDescent="0.3">
      <c r="A127" s="32" t="s">
        <v>159</v>
      </c>
      <c r="B127" s="33" t="s">
        <v>122</v>
      </c>
      <c r="C127" s="34" t="s">
        <v>131</v>
      </c>
      <c r="D127" s="35" t="s">
        <v>133</v>
      </c>
      <c r="E127" s="36">
        <v>4300</v>
      </c>
      <c r="F127" s="36">
        <v>0</v>
      </c>
      <c r="G127" s="37">
        <v>0</v>
      </c>
      <c r="H127" s="37">
        <v>0</v>
      </c>
      <c r="I127" s="36">
        <f>H127+4250</f>
        <v>4250</v>
      </c>
      <c r="J127" s="36">
        <f>E127+F127-G127-I127</f>
        <v>50</v>
      </c>
      <c r="K127" s="22"/>
      <c r="L127" s="21"/>
      <c r="M127" s="22"/>
    </row>
    <row r="128" spans="1:13" ht="39.950000000000003" customHeight="1" x14ac:dyDescent="0.3">
      <c r="A128" s="32" t="s">
        <v>159</v>
      </c>
      <c r="B128" s="33" t="s">
        <v>122</v>
      </c>
      <c r="C128" s="34" t="s">
        <v>131</v>
      </c>
      <c r="D128" s="35" t="s">
        <v>134</v>
      </c>
      <c r="E128" s="36">
        <v>3100</v>
      </c>
      <c r="F128" s="36">
        <v>0</v>
      </c>
      <c r="G128" s="37">
        <v>0</v>
      </c>
      <c r="H128" s="37">
        <v>0</v>
      </c>
      <c r="I128" s="36">
        <f>H128+3000</f>
        <v>3000</v>
      </c>
      <c r="J128" s="36">
        <f>E128+F128-G128-I128</f>
        <v>100</v>
      </c>
      <c r="K128" s="22"/>
      <c r="L128" s="21"/>
      <c r="M128" s="22"/>
    </row>
    <row r="129" spans="1:13" s="55" customFormat="1" ht="17.25" customHeight="1" x14ac:dyDescent="0.3">
      <c r="A129" s="51" t="s">
        <v>136</v>
      </c>
      <c r="B129" s="51"/>
      <c r="C129" s="51"/>
      <c r="D129" s="51"/>
      <c r="E129" s="52">
        <f t="shared" ref="E129:J129" si="27">SUM(E124:E128)</f>
        <v>51400</v>
      </c>
      <c r="F129" s="52">
        <f t="shared" si="27"/>
        <v>0</v>
      </c>
      <c r="G129" s="52">
        <f t="shared" si="27"/>
        <v>0</v>
      </c>
      <c r="H129" s="52">
        <f t="shared" si="27"/>
        <v>0</v>
      </c>
      <c r="I129" s="52">
        <f t="shared" si="27"/>
        <v>50850</v>
      </c>
      <c r="J129" s="52">
        <f t="shared" si="27"/>
        <v>550</v>
      </c>
      <c r="K129" s="53"/>
      <c r="L129" s="54"/>
      <c r="M129" s="53"/>
    </row>
    <row r="130" spans="1:13" s="55" customFormat="1" ht="18" customHeight="1" x14ac:dyDescent="0.3">
      <c r="A130" s="51" t="s">
        <v>164</v>
      </c>
      <c r="B130" s="51"/>
      <c r="C130" s="51"/>
      <c r="D130" s="51"/>
      <c r="E130" s="52">
        <f t="shared" ref="E130:J130" si="28">E113+E118+E122+E106+E129</f>
        <v>1462220</v>
      </c>
      <c r="F130" s="52">
        <f t="shared" si="28"/>
        <v>79000</v>
      </c>
      <c r="G130" s="52">
        <f t="shared" si="28"/>
        <v>294000</v>
      </c>
      <c r="H130" s="52">
        <f t="shared" si="28"/>
        <v>253313</v>
      </c>
      <c r="I130" s="52">
        <f t="shared" si="28"/>
        <v>1143030.22</v>
      </c>
      <c r="J130" s="52">
        <f t="shared" si="28"/>
        <v>104189.77999999997</v>
      </c>
      <c r="K130" s="53"/>
      <c r="L130" s="54"/>
      <c r="M130" s="53"/>
    </row>
    <row r="131" spans="1:13" ht="49.5" customHeight="1" x14ac:dyDescent="0.3">
      <c r="A131" s="32" t="s">
        <v>165</v>
      </c>
      <c r="B131" s="33" t="s">
        <v>96</v>
      </c>
      <c r="C131" s="34" t="s">
        <v>99</v>
      </c>
      <c r="D131" s="35" t="s">
        <v>166</v>
      </c>
      <c r="E131" s="36">
        <v>136000</v>
      </c>
      <c r="F131" s="36">
        <v>20000</v>
      </c>
      <c r="G131" s="37">
        <v>0</v>
      </c>
      <c r="H131" s="37">
        <v>0</v>
      </c>
      <c r="I131" s="36">
        <f>H131+17890+102000+36000</f>
        <v>155890</v>
      </c>
      <c r="J131" s="36">
        <f>E131+F131-G131-I131</f>
        <v>110</v>
      </c>
      <c r="K131" s="22"/>
      <c r="L131" s="21"/>
      <c r="M131" s="22"/>
    </row>
    <row r="132" spans="1:13" ht="49.5" customHeight="1" x14ac:dyDescent="0.3">
      <c r="A132" s="32" t="s">
        <v>165</v>
      </c>
      <c r="B132" s="33" t="s">
        <v>96</v>
      </c>
      <c r="C132" s="34" t="s">
        <v>99</v>
      </c>
      <c r="D132" s="35" t="s">
        <v>167</v>
      </c>
      <c r="E132" s="36">
        <v>638400</v>
      </c>
      <c r="F132" s="36">
        <v>0</v>
      </c>
      <c r="G132" s="37">
        <v>0</v>
      </c>
      <c r="H132" s="37">
        <v>0</v>
      </c>
      <c r="I132" s="36">
        <f>H132+109440+118560+159600+184680</f>
        <v>572280</v>
      </c>
      <c r="J132" s="36">
        <f>E132+F132-G132-I132</f>
        <v>66120</v>
      </c>
      <c r="K132" s="22"/>
      <c r="L132" s="21"/>
      <c r="M132" s="22"/>
    </row>
    <row r="133" spans="1:13" ht="21" customHeight="1" x14ac:dyDescent="0.3">
      <c r="A133" s="48" t="s">
        <v>107</v>
      </c>
      <c r="B133" s="48"/>
      <c r="C133" s="48"/>
      <c r="D133" s="48"/>
      <c r="E133" s="39">
        <f t="shared" ref="E133:J133" si="29">SUM(E131:E132)</f>
        <v>774400</v>
      </c>
      <c r="F133" s="39">
        <f t="shared" si="29"/>
        <v>20000</v>
      </c>
      <c r="G133" s="39">
        <f t="shared" si="29"/>
        <v>0</v>
      </c>
      <c r="H133" s="39">
        <f t="shared" si="29"/>
        <v>0</v>
      </c>
      <c r="I133" s="39">
        <f t="shared" si="29"/>
        <v>728170</v>
      </c>
      <c r="J133" s="39">
        <f t="shared" si="29"/>
        <v>66230</v>
      </c>
      <c r="K133" s="22"/>
      <c r="L133" s="21"/>
      <c r="M133" s="22"/>
    </row>
    <row r="134" spans="1:13" ht="39.950000000000003" customHeight="1" x14ac:dyDescent="0.3">
      <c r="A134" s="32" t="s">
        <v>165</v>
      </c>
      <c r="B134" s="33" t="s">
        <v>108</v>
      </c>
      <c r="C134" s="34" t="s">
        <v>168</v>
      </c>
      <c r="D134" s="35"/>
      <c r="E134" s="36">
        <v>1007480</v>
      </c>
      <c r="F134" s="36">
        <v>0</v>
      </c>
      <c r="G134" s="37">
        <v>0</v>
      </c>
      <c r="H134" s="37">
        <v>432336.08</v>
      </c>
      <c r="I134" s="36">
        <f>H134+71439.06+68037.2+362427.34</f>
        <v>934239.67999999993</v>
      </c>
      <c r="J134" s="36">
        <f>E134+F134-G134-I134</f>
        <v>73240.320000000065</v>
      </c>
      <c r="K134" s="22"/>
      <c r="L134" s="21"/>
      <c r="M134" s="22"/>
    </row>
    <row r="135" spans="1:13" ht="21" customHeight="1" x14ac:dyDescent="0.3">
      <c r="A135" s="48" t="s">
        <v>115</v>
      </c>
      <c r="B135" s="48"/>
      <c r="C135" s="48"/>
      <c r="D135" s="48"/>
      <c r="E135" s="39">
        <f t="shared" ref="E135:J135" si="30">E134</f>
        <v>1007480</v>
      </c>
      <c r="F135" s="39">
        <f t="shared" si="30"/>
        <v>0</v>
      </c>
      <c r="G135" s="39">
        <f t="shared" si="30"/>
        <v>0</v>
      </c>
      <c r="H135" s="39">
        <f t="shared" si="30"/>
        <v>432336.08</v>
      </c>
      <c r="I135" s="39">
        <f t="shared" si="30"/>
        <v>934239.67999999993</v>
      </c>
      <c r="J135" s="39">
        <f t="shared" si="30"/>
        <v>73240.320000000065</v>
      </c>
      <c r="K135" s="22"/>
      <c r="L135" s="21"/>
      <c r="M135" s="22"/>
    </row>
    <row r="136" spans="1:13" ht="21" customHeight="1" x14ac:dyDescent="0.3">
      <c r="A136" s="42"/>
      <c r="B136" s="42"/>
      <c r="C136" s="42"/>
      <c r="D136" s="42"/>
      <c r="E136" s="46"/>
      <c r="F136" s="46"/>
      <c r="G136" s="46"/>
      <c r="H136" s="46"/>
      <c r="I136" s="46"/>
      <c r="J136" s="46"/>
      <c r="K136" s="22"/>
      <c r="L136" s="21"/>
      <c r="M136" s="22"/>
    </row>
    <row r="137" spans="1:13" s="31" customFormat="1" ht="39.950000000000003" customHeight="1" x14ac:dyDescent="0.3">
      <c r="A137" s="26" t="s">
        <v>63</v>
      </c>
      <c r="B137" s="26" t="s">
        <v>64</v>
      </c>
      <c r="C137" s="27" t="s">
        <v>65</v>
      </c>
      <c r="D137" s="28" t="s">
        <v>66</v>
      </c>
      <c r="E137" s="29" t="s">
        <v>67</v>
      </c>
      <c r="F137" s="29" t="s">
        <v>68</v>
      </c>
      <c r="G137" s="30" t="s">
        <v>69</v>
      </c>
      <c r="H137" s="30" t="s">
        <v>70</v>
      </c>
      <c r="I137" s="29" t="s">
        <v>71</v>
      </c>
      <c r="J137" s="29" t="s">
        <v>72</v>
      </c>
      <c r="K137" s="22"/>
      <c r="L137" s="21"/>
      <c r="M137" s="22"/>
    </row>
    <row r="138" spans="1:13" ht="39.950000000000003" customHeight="1" x14ac:dyDescent="0.3">
      <c r="A138" s="32" t="s">
        <v>165</v>
      </c>
      <c r="B138" s="33" t="s">
        <v>143</v>
      </c>
      <c r="C138" s="34" t="s">
        <v>169</v>
      </c>
      <c r="D138" s="35"/>
      <c r="E138" s="36">
        <v>1612000</v>
      </c>
      <c r="F138" s="36">
        <v>0</v>
      </c>
      <c r="G138" s="37">
        <v>0</v>
      </c>
      <c r="H138" s="37">
        <v>0</v>
      </c>
      <c r="I138" s="36">
        <f>H138+235000+571000+385000+381000</f>
        <v>1572000</v>
      </c>
      <c r="J138" s="36">
        <f>E138+F138-G138-I138</f>
        <v>40000</v>
      </c>
      <c r="K138" s="22"/>
      <c r="L138" s="21"/>
      <c r="M138" s="22"/>
    </row>
    <row r="139" spans="1:13" ht="20.25" customHeight="1" x14ac:dyDescent="0.3">
      <c r="A139" s="48" t="s">
        <v>145</v>
      </c>
      <c r="B139" s="48"/>
      <c r="C139" s="48"/>
      <c r="D139" s="48"/>
      <c r="E139" s="39">
        <f t="shared" ref="E139:J139" si="31">E138</f>
        <v>1612000</v>
      </c>
      <c r="F139" s="39">
        <f t="shared" si="31"/>
        <v>0</v>
      </c>
      <c r="G139" s="39">
        <f t="shared" si="31"/>
        <v>0</v>
      </c>
      <c r="H139" s="39">
        <f t="shared" si="31"/>
        <v>0</v>
      </c>
      <c r="I139" s="39">
        <f t="shared" si="31"/>
        <v>1572000</v>
      </c>
      <c r="J139" s="39">
        <f t="shared" si="31"/>
        <v>40000</v>
      </c>
      <c r="K139" s="22"/>
      <c r="L139" s="21"/>
      <c r="M139" s="22"/>
    </row>
    <row r="140" spans="1:13" ht="24" customHeight="1" x14ac:dyDescent="0.3">
      <c r="A140" s="38" t="s">
        <v>170</v>
      </c>
      <c r="B140" s="38"/>
      <c r="C140" s="38"/>
      <c r="D140" s="38"/>
      <c r="E140" s="39">
        <f t="shared" ref="E140:J140" si="32">E133+E135+E139</f>
        <v>3393880</v>
      </c>
      <c r="F140" s="39">
        <f t="shared" si="32"/>
        <v>20000</v>
      </c>
      <c r="G140" s="39">
        <f t="shared" si="32"/>
        <v>0</v>
      </c>
      <c r="H140" s="39">
        <f t="shared" si="32"/>
        <v>432336.08</v>
      </c>
      <c r="I140" s="39">
        <f t="shared" si="32"/>
        <v>3234409.6799999997</v>
      </c>
      <c r="J140" s="39">
        <f t="shared" si="32"/>
        <v>179470.32000000007</v>
      </c>
      <c r="K140" s="22"/>
      <c r="L140" s="21"/>
      <c r="M140" s="22"/>
    </row>
    <row r="141" spans="1:13" ht="65.25" customHeight="1" x14ac:dyDescent="0.3">
      <c r="A141" s="32" t="s">
        <v>171</v>
      </c>
      <c r="B141" s="33" t="s">
        <v>96</v>
      </c>
      <c r="C141" s="34" t="s">
        <v>99</v>
      </c>
      <c r="D141" s="35" t="s">
        <v>172</v>
      </c>
      <c r="E141" s="36">
        <v>80000</v>
      </c>
      <c r="F141" s="36">
        <v>0</v>
      </c>
      <c r="G141" s="37">
        <v>75200</v>
      </c>
      <c r="H141" s="37">
        <v>0</v>
      </c>
      <c r="I141" s="36">
        <f>H141+4800</f>
        <v>4800</v>
      </c>
      <c r="J141" s="36">
        <f>E141+F141-G141-I141</f>
        <v>0</v>
      </c>
      <c r="K141" s="22"/>
      <c r="L141" s="21"/>
      <c r="M141" s="22"/>
    </row>
    <row r="142" spans="1:13" ht="52.5" customHeight="1" x14ac:dyDescent="0.3">
      <c r="A142" s="32" t="s">
        <v>171</v>
      </c>
      <c r="B142" s="33" t="s">
        <v>96</v>
      </c>
      <c r="C142" s="34" t="s">
        <v>99</v>
      </c>
      <c r="D142" s="35" t="s">
        <v>173</v>
      </c>
      <c r="E142" s="36">
        <v>74000</v>
      </c>
      <c r="F142" s="36">
        <v>0</v>
      </c>
      <c r="G142" s="37">
        <v>30750</v>
      </c>
      <c r="H142" s="37">
        <v>0</v>
      </c>
      <c r="I142" s="36">
        <f>H142+43000</f>
        <v>43000</v>
      </c>
      <c r="J142" s="36">
        <f>E142+F142-G142-I142</f>
        <v>250</v>
      </c>
      <c r="K142" s="22"/>
      <c r="L142" s="21"/>
      <c r="M142" s="22"/>
    </row>
    <row r="143" spans="1:13" ht="25.5" customHeight="1" x14ac:dyDescent="0.3">
      <c r="A143" s="48" t="s">
        <v>107</v>
      </c>
      <c r="B143" s="48"/>
      <c r="C143" s="48"/>
      <c r="D143" s="48"/>
      <c r="E143" s="39">
        <f t="shared" ref="E143:J143" si="33">SUM(E141:E142)</f>
        <v>154000</v>
      </c>
      <c r="F143" s="39">
        <f t="shared" si="33"/>
        <v>0</v>
      </c>
      <c r="G143" s="39">
        <f t="shared" si="33"/>
        <v>105950</v>
      </c>
      <c r="H143" s="39">
        <f t="shared" si="33"/>
        <v>0</v>
      </c>
      <c r="I143" s="39">
        <f t="shared" si="33"/>
        <v>47800</v>
      </c>
      <c r="J143" s="39">
        <f t="shared" si="33"/>
        <v>250</v>
      </c>
      <c r="K143" s="22"/>
      <c r="L143" s="21"/>
      <c r="M143" s="22"/>
    </row>
    <row r="144" spans="1:13" ht="39.950000000000003" customHeight="1" x14ac:dyDescent="0.3">
      <c r="A144" s="32" t="s">
        <v>171</v>
      </c>
      <c r="B144" s="33" t="s">
        <v>108</v>
      </c>
      <c r="C144" s="34" t="s">
        <v>174</v>
      </c>
      <c r="D144" s="35"/>
      <c r="E144" s="36">
        <v>50000</v>
      </c>
      <c r="F144" s="36">
        <v>0</v>
      </c>
      <c r="G144" s="37">
        <v>40000</v>
      </c>
      <c r="H144" s="37">
        <v>0</v>
      </c>
      <c r="I144" s="36">
        <v>0</v>
      </c>
      <c r="J144" s="36">
        <f>E144+F144-G144-I144</f>
        <v>10000</v>
      </c>
      <c r="K144" s="22"/>
      <c r="L144" s="21"/>
      <c r="M144" s="22"/>
    </row>
    <row r="145" spans="1:13" ht="25.5" customHeight="1" x14ac:dyDescent="0.3">
      <c r="A145" s="48" t="s">
        <v>115</v>
      </c>
      <c r="B145" s="48"/>
      <c r="C145" s="48"/>
      <c r="D145" s="48"/>
      <c r="E145" s="39">
        <f t="shared" ref="E145:J145" si="34">E144</f>
        <v>50000</v>
      </c>
      <c r="F145" s="39">
        <f t="shared" si="34"/>
        <v>0</v>
      </c>
      <c r="G145" s="39">
        <f t="shared" si="34"/>
        <v>40000</v>
      </c>
      <c r="H145" s="39">
        <f t="shared" si="34"/>
        <v>0</v>
      </c>
      <c r="I145" s="39">
        <f t="shared" si="34"/>
        <v>0</v>
      </c>
      <c r="J145" s="39">
        <f t="shared" si="34"/>
        <v>10000</v>
      </c>
      <c r="K145" s="22"/>
      <c r="L145" s="21"/>
      <c r="M145" s="22"/>
    </row>
    <row r="146" spans="1:13" ht="39.950000000000003" customHeight="1" x14ac:dyDescent="0.3">
      <c r="A146" s="32" t="s">
        <v>171</v>
      </c>
      <c r="B146" s="33" t="s">
        <v>143</v>
      </c>
      <c r="C146" s="34" t="s">
        <v>175</v>
      </c>
      <c r="D146" s="35"/>
      <c r="E146" s="36">
        <v>225000</v>
      </c>
      <c r="F146" s="36">
        <v>0</v>
      </c>
      <c r="G146" s="37">
        <v>111500</v>
      </c>
      <c r="H146" s="37">
        <v>112500</v>
      </c>
      <c r="I146" s="36">
        <f>H146</f>
        <v>112500</v>
      </c>
      <c r="J146" s="36">
        <f>E146+F146-G146-I146</f>
        <v>1000</v>
      </c>
      <c r="K146" s="22"/>
      <c r="L146" s="21"/>
      <c r="M146" s="22"/>
    </row>
    <row r="147" spans="1:13" ht="21" customHeight="1" x14ac:dyDescent="0.3">
      <c r="A147" s="48" t="s">
        <v>145</v>
      </c>
      <c r="B147" s="48"/>
      <c r="C147" s="48"/>
      <c r="D147" s="48"/>
      <c r="E147" s="39">
        <f t="shared" ref="E147:J147" si="35">E146</f>
        <v>225000</v>
      </c>
      <c r="F147" s="39">
        <f t="shared" si="35"/>
        <v>0</v>
      </c>
      <c r="G147" s="39">
        <f t="shared" si="35"/>
        <v>111500</v>
      </c>
      <c r="H147" s="39">
        <f t="shared" si="35"/>
        <v>112500</v>
      </c>
      <c r="I147" s="39">
        <f t="shared" si="35"/>
        <v>112500</v>
      </c>
      <c r="J147" s="39">
        <f t="shared" si="35"/>
        <v>1000</v>
      </c>
      <c r="K147" s="22"/>
      <c r="L147" s="21"/>
      <c r="M147" s="22"/>
    </row>
    <row r="148" spans="1:13" ht="24" customHeight="1" x14ac:dyDescent="0.3">
      <c r="A148" s="38" t="s">
        <v>176</v>
      </c>
      <c r="B148" s="38"/>
      <c r="C148" s="38"/>
      <c r="D148" s="38"/>
      <c r="E148" s="39">
        <f t="shared" ref="E148:J148" si="36">E143+E145+E147</f>
        <v>429000</v>
      </c>
      <c r="F148" s="39">
        <f t="shared" si="36"/>
        <v>0</v>
      </c>
      <c r="G148" s="39">
        <f t="shared" si="36"/>
        <v>257450</v>
      </c>
      <c r="H148" s="39">
        <f t="shared" si="36"/>
        <v>112500</v>
      </c>
      <c r="I148" s="39">
        <f t="shared" si="36"/>
        <v>160300</v>
      </c>
      <c r="J148" s="39">
        <f t="shared" si="36"/>
        <v>11250</v>
      </c>
      <c r="K148" s="22"/>
      <c r="L148" s="21"/>
      <c r="M148" s="22"/>
    </row>
    <row r="149" spans="1:13" ht="39.950000000000003" customHeight="1" x14ac:dyDescent="0.3">
      <c r="A149" s="32" t="s">
        <v>177</v>
      </c>
      <c r="B149" s="33" t="s">
        <v>81</v>
      </c>
      <c r="C149" s="34" t="s">
        <v>82</v>
      </c>
      <c r="D149" s="35"/>
      <c r="E149" s="36">
        <v>697440</v>
      </c>
      <c r="F149" s="36">
        <v>42500</v>
      </c>
      <c r="G149" s="37">
        <v>0</v>
      </c>
      <c r="H149" s="37">
        <v>60860</v>
      </c>
      <c r="I149" s="36">
        <f>H149+56613.67+55850+58275.33+85998.33+58880+58880+60630+60630+60630+61335.33+60860</f>
        <v>739442.66</v>
      </c>
      <c r="J149" s="36">
        <f>E149+F149-G149-I149</f>
        <v>497.3399999999674</v>
      </c>
      <c r="K149" s="22"/>
      <c r="L149" s="21"/>
      <c r="M149" s="22"/>
    </row>
    <row r="150" spans="1:13" ht="39.950000000000003" customHeight="1" x14ac:dyDescent="0.3">
      <c r="A150" s="32" t="s">
        <v>177</v>
      </c>
      <c r="B150" s="33" t="s">
        <v>81</v>
      </c>
      <c r="C150" s="34" t="s">
        <v>84</v>
      </c>
      <c r="D150" s="35"/>
      <c r="E150" s="36">
        <v>42000</v>
      </c>
      <c r="F150" s="36">
        <v>0</v>
      </c>
      <c r="G150" s="37">
        <v>0</v>
      </c>
      <c r="H150" s="37">
        <v>3500</v>
      </c>
      <c r="I150" s="36">
        <f>H150+3500+3500+3500+3500+3500+3500+3500+3500+3500+3500+3500</f>
        <v>42000</v>
      </c>
      <c r="J150" s="36">
        <f>E150+F150-G150-I150</f>
        <v>0</v>
      </c>
      <c r="K150" s="22"/>
      <c r="L150" s="21"/>
      <c r="M150" s="22"/>
    </row>
    <row r="151" spans="1:13" ht="39.950000000000003" customHeight="1" x14ac:dyDescent="0.3">
      <c r="A151" s="32" t="s">
        <v>177</v>
      </c>
      <c r="B151" s="33" t="s">
        <v>81</v>
      </c>
      <c r="C151" s="34" t="s">
        <v>87</v>
      </c>
      <c r="D151" s="35"/>
      <c r="E151" s="36">
        <v>724920</v>
      </c>
      <c r="F151" s="36">
        <v>0</v>
      </c>
      <c r="G151" s="37">
        <v>8000</v>
      </c>
      <c r="H151" s="37">
        <v>58720</v>
      </c>
      <c r="I151" s="36">
        <f>H151+69120+58720+58720+58720+58720+58720+58720+58720+58720+58720+58720</f>
        <v>715040</v>
      </c>
      <c r="J151" s="36">
        <f>E151+F151-G151-I151</f>
        <v>1880</v>
      </c>
      <c r="K151" s="22"/>
      <c r="L151" s="21"/>
      <c r="M151" s="22"/>
    </row>
    <row r="152" spans="1:13" s="31" customFormat="1" ht="39.950000000000003" customHeight="1" x14ac:dyDescent="0.3">
      <c r="A152" s="26" t="s">
        <v>63</v>
      </c>
      <c r="B152" s="26" t="s">
        <v>64</v>
      </c>
      <c r="C152" s="27" t="s">
        <v>65</v>
      </c>
      <c r="D152" s="28" t="s">
        <v>66</v>
      </c>
      <c r="E152" s="29" t="s">
        <v>67</v>
      </c>
      <c r="F152" s="29" t="s">
        <v>68</v>
      </c>
      <c r="G152" s="30" t="s">
        <v>69</v>
      </c>
      <c r="H152" s="30" t="s">
        <v>70</v>
      </c>
      <c r="I152" s="29" t="s">
        <v>71</v>
      </c>
      <c r="J152" s="29" t="s">
        <v>72</v>
      </c>
      <c r="K152" s="22"/>
      <c r="L152" s="21"/>
      <c r="M152" s="22"/>
    </row>
    <row r="153" spans="1:13" ht="39.950000000000003" customHeight="1" x14ac:dyDescent="0.3">
      <c r="A153" s="32" t="s">
        <v>177</v>
      </c>
      <c r="B153" s="33" t="s">
        <v>81</v>
      </c>
      <c r="C153" s="34" t="s">
        <v>88</v>
      </c>
      <c r="D153" s="35"/>
      <c r="E153" s="36">
        <v>60000</v>
      </c>
      <c r="F153" s="36">
        <v>15500</v>
      </c>
      <c r="G153" s="37">
        <v>0</v>
      </c>
      <c r="H153" s="37">
        <v>6265</v>
      </c>
      <c r="I153" s="36">
        <f>H153+6265+6265+6265+6265+6265+6265+6265+6265+6265+6265+6265</f>
        <v>75180</v>
      </c>
      <c r="J153" s="36">
        <f>E153+F153-G153-I153</f>
        <v>320</v>
      </c>
      <c r="K153" s="22"/>
      <c r="L153" s="21"/>
      <c r="M153" s="22"/>
    </row>
    <row r="154" spans="1:13" ht="22.5" customHeight="1" x14ac:dyDescent="0.3">
      <c r="A154" s="38" t="s">
        <v>89</v>
      </c>
      <c r="B154" s="38"/>
      <c r="C154" s="38"/>
      <c r="D154" s="38"/>
      <c r="E154" s="39">
        <f t="shared" ref="E154:J154" si="37">SUM(E149:E153)</f>
        <v>1524360</v>
      </c>
      <c r="F154" s="39">
        <f t="shared" si="37"/>
        <v>58000</v>
      </c>
      <c r="G154" s="39">
        <f t="shared" si="37"/>
        <v>8000</v>
      </c>
      <c r="H154" s="39">
        <f t="shared" si="37"/>
        <v>129345</v>
      </c>
      <c r="I154" s="39">
        <f t="shared" si="37"/>
        <v>1571662.6600000001</v>
      </c>
      <c r="J154" s="39">
        <f t="shared" si="37"/>
        <v>2697.3399999999674</v>
      </c>
      <c r="K154" s="22"/>
      <c r="L154" s="21"/>
      <c r="M154" s="22"/>
    </row>
    <row r="155" spans="1:13" ht="39.950000000000003" customHeight="1" x14ac:dyDescent="0.3">
      <c r="A155" s="32" t="s">
        <v>177</v>
      </c>
      <c r="B155" s="33" t="s">
        <v>90</v>
      </c>
      <c r="C155" s="34" t="s">
        <v>91</v>
      </c>
      <c r="D155" s="35"/>
      <c r="E155" s="36">
        <v>158600</v>
      </c>
      <c r="F155" s="36">
        <v>0</v>
      </c>
      <c r="G155" s="37">
        <v>0</v>
      </c>
      <c r="H155" s="37">
        <v>118578</v>
      </c>
      <c r="I155" s="36">
        <f>H155</f>
        <v>118578</v>
      </c>
      <c r="J155" s="36">
        <f>E155+F155-G155-I155</f>
        <v>40022</v>
      </c>
      <c r="K155" s="22"/>
      <c r="L155" s="21"/>
      <c r="M155" s="22"/>
    </row>
    <row r="156" spans="1:13" ht="39.950000000000003" customHeight="1" x14ac:dyDescent="0.3">
      <c r="A156" s="32" t="s">
        <v>177</v>
      </c>
      <c r="B156" s="33" t="s">
        <v>90</v>
      </c>
      <c r="C156" s="34" t="s">
        <v>92</v>
      </c>
      <c r="D156" s="35"/>
      <c r="E156" s="36">
        <v>40000</v>
      </c>
      <c r="F156" s="36">
        <v>0</v>
      </c>
      <c r="G156" s="37">
        <f>20000+20000</f>
        <v>40000</v>
      </c>
      <c r="H156" s="37">
        <v>0</v>
      </c>
      <c r="I156" s="36">
        <v>0</v>
      </c>
      <c r="J156" s="36">
        <f>E156+F156-G156-I156</f>
        <v>0</v>
      </c>
      <c r="K156" s="22"/>
      <c r="L156" s="21"/>
      <c r="M156" s="22"/>
    </row>
    <row r="157" spans="1:13" ht="39.950000000000003" customHeight="1" x14ac:dyDescent="0.3">
      <c r="A157" s="32" t="s">
        <v>177</v>
      </c>
      <c r="B157" s="33" t="s">
        <v>90</v>
      </c>
      <c r="C157" s="34" t="s">
        <v>93</v>
      </c>
      <c r="D157" s="35"/>
      <c r="E157" s="36">
        <v>51000</v>
      </c>
      <c r="F157" s="36">
        <v>0</v>
      </c>
      <c r="G157" s="37">
        <v>6000</v>
      </c>
      <c r="H157" s="37">
        <v>4200</v>
      </c>
      <c r="I157" s="36">
        <f>H157+3750+3750+3750+3750+3750+3750+3750+3750+4200+4200</f>
        <v>42600</v>
      </c>
      <c r="J157" s="36">
        <f>E157+F157-G157-I157</f>
        <v>2400</v>
      </c>
      <c r="K157" s="22"/>
      <c r="L157" s="21"/>
      <c r="M157" s="22"/>
    </row>
    <row r="158" spans="1:13" ht="39.950000000000003" customHeight="1" x14ac:dyDescent="0.3">
      <c r="A158" s="32" t="s">
        <v>177</v>
      </c>
      <c r="B158" s="33" t="s">
        <v>90</v>
      </c>
      <c r="C158" s="34" t="s">
        <v>94</v>
      </c>
      <c r="D158" s="35"/>
      <c r="E158" s="36">
        <v>30000</v>
      </c>
      <c r="F158" s="36">
        <v>2000</v>
      </c>
      <c r="G158" s="37">
        <v>10000</v>
      </c>
      <c r="H158" s="37">
        <v>13000</v>
      </c>
      <c r="I158" s="36">
        <f>H158+9000</f>
        <v>22000</v>
      </c>
      <c r="J158" s="36">
        <f>E158+F158-G158-I158</f>
        <v>0</v>
      </c>
      <c r="K158" s="22"/>
      <c r="L158" s="21"/>
      <c r="M158" s="22"/>
    </row>
    <row r="159" spans="1:13" ht="20.25" customHeight="1" x14ac:dyDescent="0.3">
      <c r="A159" s="48" t="s">
        <v>95</v>
      </c>
      <c r="B159" s="48"/>
      <c r="C159" s="48"/>
      <c r="D159" s="48"/>
      <c r="E159" s="39">
        <f t="shared" ref="E159:J159" si="38">SUM(E155:E158)</f>
        <v>279600</v>
      </c>
      <c r="F159" s="39">
        <f t="shared" si="38"/>
        <v>2000</v>
      </c>
      <c r="G159" s="39">
        <f t="shared" si="38"/>
        <v>56000</v>
      </c>
      <c r="H159" s="39">
        <f t="shared" si="38"/>
        <v>135778</v>
      </c>
      <c r="I159" s="39">
        <f t="shared" si="38"/>
        <v>183178</v>
      </c>
      <c r="J159" s="39">
        <f t="shared" si="38"/>
        <v>42422</v>
      </c>
      <c r="K159" s="22"/>
      <c r="L159" s="21"/>
      <c r="M159" s="22"/>
    </row>
    <row r="160" spans="1:13" ht="39.950000000000003" customHeight="1" x14ac:dyDescent="0.3">
      <c r="A160" s="32" t="s">
        <v>177</v>
      </c>
      <c r="B160" s="33" t="s">
        <v>96</v>
      </c>
      <c r="C160" s="34" t="s">
        <v>97</v>
      </c>
      <c r="D160" s="35"/>
      <c r="E160" s="36">
        <v>300000</v>
      </c>
      <c r="F160" s="36">
        <v>390000</v>
      </c>
      <c r="G160" s="37">
        <v>0</v>
      </c>
      <c r="H160" s="37">
        <f>8000+8000+33000</f>
        <v>49000</v>
      </c>
      <c r="I160" s="36">
        <f>H160+3800+158000+8000+8000+13117.81+408000+8000+8000+8000+8000</f>
        <v>679917.81</v>
      </c>
      <c r="J160" s="36">
        <f>E160+F160-G160-I160</f>
        <v>10082.189999999944</v>
      </c>
      <c r="K160" s="22"/>
      <c r="L160" s="21"/>
      <c r="M160" s="22"/>
    </row>
    <row r="161" spans="1:13" ht="37.5" customHeight="1" x14ac:dyDescent="0.3">
      <c r="A161" s="32" t="s">
        <v>177</v>
      </c>
      <c r="B161" s="33" t="s">
        <v>96</v>
      </c>
      <c r="C161" s="34" t="s">
        <v>99</v>
      </c>
      <c r="D161" s="35" t="s">
        <v>100</v>
      </c>
      <c r="E161" s="36">
        <v>40000</v>
      </c>
      <c r="F161" s="36">
        <v>0</v>
      </c>
      <c r="G161" s="37">
        <v>20000</v>
      </c>
      <c r="H161" s="37">
        <v>472</v>
      </c>
      <c r="I161" s="36">
        <f>H161+5870</f>
        <v>6342</v>
      </c>
      <c r="J161" s="36">
        <f>E161+F161-G161-I161</f>
        <v>13658</v>
      </c>
      <c r="K161" s="22"/>
      <c r="L161" s="21"/>
      <c r="M161" s="22"/>
    </row>
    <row r="162" spans="1:13" ht="40.5" customHeight="1" x14ac:dyDescent="0.3">
      <c r="A162" s="32" t="s">
        <v>177</v>
      </c>
      <c r="B162" s="33" t="s">
        <v>96</v>
      </c>
      <c r="C162" s="34" t="s">
        <v>106</v>
      </c>
      <c r="D162" s="35"/>
      <c r="E162" s="36">
        <v>0</v>
      </c>
      <c r="F162" s="36">
        <v>50000</v>
      </c>
      <c r="G162" s="37">
        <v>0</v>
      </c>
      <c r="H162" s="37">
        <f>3450+3700+330</f>
        <v>7480</v>
      </c>
      <c r="I162" s="36">
        <f>H162+10023.59+800+10621</f>
        <v>28924.59</v>
      </c>
      <c r="J162" s="36">
        <f>E162+F162-G162-I162</f>
        <v>21075.41</v>
      </c>
      <c r="K162" s="22"/>
      <c r="L162" s="21"/>
      <c r="M162" s="22"/>
    </row>
    <row r="163" spans="1:13" ht="22.5" customHeight="1" x14ac:dyDescent="0.3">
      <c r="A163" s="48" t="s">
        <v>107</v>
      </c>
      <c r="B163" s="48"/>
      <c r="C163" s="48"/>
      <c r="D163" s="48"/>
      <c r="E163" s="39">
        <f>SUM(E160:E161)</f>
        <v>340000</v>
      </c>
      <c r="F163" s="39">
        <f>SUM(F160:F162)</f>
        <v>440000</v>
      </c>
      <c r="G163" s="39">
        <f>SUM(G160:G162)</f>
        <v>20000</v>
      </c>
      <c r="H163" s="39">
        <f>SUM(H160:H162)</f>
        <v>56952</v>
      </c>
      <c r="I163" s="39">
        <f>SUM(I160:I162)</f>
        <v>715184.4</v>
      </c>
      <c r="J163" s="39">
        <f>SUM(J160:J162)</f>
        <v>44815.599999999948</v>
      </c>
      <c r="K163" s="22"/>
      <c r="L163" s="21"/>
      <c r="M163" s="22"/>
    </row>
    <row r="164" spans="1:13" ht="39.950000000000003" customHeight="1" x14ac:dyDescent="0.3">
      <c r="A164" s="32" t="s">
        <v>177</v>
      </c>
      <c r="B164" s="33" t="s">
        <v>108</v>
      </c>
      <c r="C164" s="34" t="s">
        <v>109</v>
      </c>
      <c r="D164" s="35"/>
      <c r="E164" s="36">
        <v>20000</v>
      </c>
      <c r="F164" s="36">
        <v>0</v>
      </c>
      <c r="G164" s="37">
        <v>0</v>
      </c>
      <c r="H164" s="37">
        <v>9106</v>
      </c>
      <c r="I164" s="36">
        <f>H164+7843</f>
        <v>16949</v>
      </c>
      <c r="J164" s="36">
        <f t="shared" ref="J164:J171" si="39">E164+F164-G164-I164</f>
        <v>3051</v>
      </c>
      <c r="K164" s="22"/>
      <c r="L164" s="21"/>
      <c r="M164" s="22"/>
    </row>
    <row r="165" spans="1:13" ht="39.950000000000003" customHeight="1" x14ac:dyDescent="0.3">
      <c r="A165" s="32" t="s">
        <v>177</v>
      </c>
      <c r="B165" s="33" t="s">
        <v>108</v>
      </c>
      <c r="C165" s="34" t="s">
        <v>110</v>
      </c>
      <c r="D165" s="35"/>
      <c r="E165" s="36">
        <v>50000</v>
      </c>
      <c r="F165" s="36">
        <v>0</v>
      </c>
      <c r="G165" s="37">
        <v>0</v>
      </c>
      <c r="H165" s="37">
        <v>3000</v>
      </c>
      <c r="I165" s="36">
        <f>H165+25840+20715</f>
        <v>49555</v>
      </c>
      <c r="J165" s="36">
        <f t="shared" si="39"/>
        <v>445</v>
      </c>
      <c r="K165" s="22"/>
      <c r="L165" s="21"/>
      <c r="M165" s="22"/>
    </row>
    <row r="166" spans="1:13" ht="39.75" customHeight="1" x14ac:dyDescent="0.3">
      <c r="A166" s="32" t="s">
        <v>177</v>
      </c>
      <c r="B166" s="33" t="s">
        <v>108</v>
      </c>
      <c r="C166" s="34" t="s">
        <v>111</v>
      </c>
      <c r="D166" s="35"/>
      <c r="E166" s="36"/>
      <c r="F166" s="36">
        <v>960000</v>
      </c>
      <c r="G166" s="37">
        <v>0</v>
      </c>
      <c r="H166" s="37">
        <v>0</v>
      </c>
      <c r="I166" s="36">
        <v>0</v>
      </c>
      <c r="J166" s="36">
        <f>E166+F166-G166-I166</f>
        <v>960000</v>
      </c>
      <c r="K166" s="22"/>
      <c r="L166" s="21"/>
      <c r="M166" s="22"/>
    </row>
    <row r="167" spans="1:13" s="31" customFormat="1" ht="39.950000000000003" customHeight="1" x14ac:dyDescent="0.3">
      <c r="A167" s="26" t="s">
        <v>63</v>
      </c>
      <c r="B167" s="26" t="s">
        <v>64</v>
      </c>
      <c r="C167" s="27" t="s">
        <v>65</v>
      </c>
      <c r="D167" s="28" t="s">
        <v>66</v>
      </c>
      <c r="E167" s="29" t="s">
        <v>67</v>
      </c>
      <c r="F167" s="29" t="s">
        <v>68</v>
      </c>
      <c r="G167" s="30" t="s">
        <v>69</v>
      </c>
      <c r="H167" s="30" t="s">
        <v>70</v>
      </c>
      <c r="I167" s="29" t="s">
        <v>71</v>
      </c>
      <c r="J167" s="29" t="s">
        <v>72</v>
      </c>
      <c r="K167" s="22"/>
      <c r="L167" s="21"/>
      <c r="M167" s="22"/>
    </row>
    <row r="168" spans="1:13" ht="39.950000000000003" customHeight="1" x14ac:dyDescent="0.3">
      <c r="A168" s="32" t="s">
        <v>177</v>
      </c>
      <c r="B168" s="33" t="s">
        <v>108</v>
      </c>
      <c r="C168" s="34" t="s">
        <v>178</v>
      </c>
      <c r="D168" s="35"/>
      <c r="E168" s="36">
        <v>500000</v>
      </c>
      <c r="F168" s="36">
        <f>120000+668000</f>
        <v>788000</v>
      </c>
      <c r="G168" s="37">
        <v>0</v>
      </c>
      <c r="H168" s="37">
        <v>120000</v>
      </c>
      <c r="I168" s="36">
        <f>H168+497382.56+197000+103000+244855+98000</f>
        <v>1260237.56</v>
      </c>
      <c r="J168" s="36">
        <f>E168+F168-G168-I168</f>
        <v>27762.439999999944</v>
      </c>
      <c r="K168" s="22"/>
      <c r="L168" s="21"/>
      <c r="M168" s="22"/>
    </row>
    <row r="169" spans="1:13" ht="39.950000000000003" customHeight="1" x14ac:dyDescent="0.3">
      <c r="A169" s="32" t="s">
        <v>177</v>
      </c>
      <c r="B169" s="33" t="s">
        <v>108</v>
      </c>
      <c r="C169" s="34" t="s">
        <v>179</v>
      </c>
      <c r="D169" s="35"/>
      <c r="E169" s="36">
        <v>5000</v>
      </c>
      <c r="F169" s="36">
        <v>50000</v>
      </c>
      <c r="G169" s="37">
        <v>0</v>
      </c>
      <c r="H169" s="37">
        <f>11400+10760</f>
        <v>22160</v>
      </c>
      <c r="I169" s="36">
        <f>H169+8240</f>
        <v>30400</v>
      </c>
      <c r="J169" s="36">
        <f t="shared" si="39"/>
        <v>24600</v>
      </c>
      <c r="K169" s="22"/>
      <c r="L169" s="21"/>
      <c r="M169" s="22"/>
    </row>
    <row r="170" spans="1:13" ht="39.950000000000003" customHeight="1" x14ac:dyDescent="0.3">
      <c r="A170" s="32" t="s">
        <v>177</v>
      </c>
      <c r="B170" s="33" t="s">
        <v>108</v>
      </c>
      <c r="C170" s="34" t="s">
        <v>112</v>
      </c>
      <c r="D170" s="35"/>
      <c r="E170" s="36">
        <v>600000</v>
      </c>
      <c r="F170" s="36">
        <v>129000</v>
      </c>
      <c r="G170" s="37">
        <v>0</v>
      </c>
      <c r="H170" s="37">
        <f>54000+24300+12950+54000</f>
        <v>145250</v>
      </c>
      <c r="I170" s="36">
        <f>H170+38200+118500+100370+50000+109740+54870+54000+54000</f>
        <v>724930</v>
      </c>
      <c r="J170" s="36">
        <f t="shared" si="39"/>
        <v>4070</v>
      </c>
      <c r="K170" s="22"/>
      <c r="L170" s="21"/>
      <c r="M170" s="22"/>
    </row>
    <row r="171" spans="1:13" ht="39.950000000000003" customHeight="1" x14ac:dyDescent="0.3">
      <c r="A171" s="32" t="s">
        <v>177</v>
      </c>
      <c r="B171" s="33" t="s">
        <v>108</v>
      </c>
      <c r="C171" s="34" t="s">
        <v>114</v>
      </c>
      <c r="D171" s="35"/>
      <c r="E171" s="36">
        <v>20000</v>
      </c>
      <c r="F171" s="36">
        <v>0</v>
      </c>
      <c r="G171" s="37">
        <v>0</v>
      </c>
      <c r="H171" s="37">
        <v>1590</v>
      </c>
      <c r="I171" s="36">
        <f>H171+13510+4350</f>
        <v>19450</v>
      </c>
      <c r="J171" s="36">
        <f t="shared" si="39"/>
        <v>550</v>
      </c>
      <c r="K171" s="22"/>
      <c r="L171" s="21"/>
      <c r="M171" s="22"/>
    </row>
    <row r="172" spans="1:13" ht="21.75" customHeight="1" x14ac:dyDescent="0.3">
      <c r="A172" s="48" t="s">
        <v>115</v>
      </c>
      <c r="B172" s="48"/>
      <c r="C172" s="48"/>
      <c r="D172" s="48"/>
      <c r="E172" s="39">
        <f t="shared" ref="E172:J172" si="40">SUM(E164:E171)</f>
        <v>1195000</v>
      </c>
      <c r="F172" s="39">
        <f t="shared" si="40"/>
        <v>1927000</v>
      </c>
      <c r="G172" s="39">
        <f t="shared" si="40"/>
        <v>0</v>
      </c>
      <c r="H172" s="39">
        <f t="shared" si="40"/>
        <v>301106</v>
      </c>
      <c r="I172" s="39">
        <f t="shared" si="40"/>
        <v>2101521.56</v>
      </c>
      <c r="J172" s="39">
        <f t="shared" si="40"/>
        <v>1020478.44</v>
      </c>
      <c r="K172" s="22"/>
      <c r="L172" s="21"/>
      <c r="M172" s="22"/>
    </row>
    <row r="173" spans="1:13" ht="48.75" customHeight="1" x14ac:dyDescent="0.3">
      <c r="A173" s="32" t="s">
        <v>177</v>
      </c>
      <c r="B173" s="33" t="s">
        <v>122</v>
      </c>
      <c r="C173" s="34" t="s">
        <v>180</v>
      </c>
      <c r="D173" s="35" t="s">
        <v>181</v>
      </c>
      <c r="E173" s="36">
        <v>1998000</v>
      </c>
      <c r="F173" s="36">
        <v>0</v>
      </c>
      <c r="G173" s="37">
        <v>300000</v>
      </c>
      <c r="H173" s="37">
        <v>0</v>
      </c>
      <c r="I173" s="36">
        <v>0</v>
      </c>
      <c r="J173" s="36">
        <f t="shared" ref="J173:J179" si="41">E173+F173-G173-I173</f>
        <v>1698000</v>
      </c>
      <c r="K173" s="22"/>
      <c r="L173" s="21"/>
      <c r="M173" s="22"/>
    </row>
    <row r="174" spans="1:13" ht="39.950000000000003" customHeight="1" x14ac:dyDescent="0.3">
      <c r="A174" s="32" t="s">
        <v>177</v>
      </c>
      <c r="B174" s="33" t="s">
        <v>122</v>
      </c>
      <c r="C174" s="34" t="s">
        <v>129</v>
      </c>
      <c r="D174" s="35" t="s">
        <v>182</v>
      </c>
      <c r="E174" s="36">
        <v>5000</v>
      </c>
      <c r="F174" s="36">
        <v>0</v>
      </c>
      <c r="G174" s="37">
        <v>0</v>
      </c>
      <c r="H174" s="37">
        <v>0</v>
      </c>
      <c r="I174" s="36">
        <v>0</v>
      </c>
      <c r="J174" s="36">
        <f t="shared" si="41"/>
        <v>5000</v>
      </c>
      <c r="K174" s="22"/>
      <c r="L174" s="21"/>
      <c r="M174" s="22"/>
    </row>
    <row r="175" spans="1:13" ht="47.25" customHeight="1" x14ac:dyDescent="0.3">
      <c r="A175" s="32" t="s">
        <v>177</v>
      </c>
      <c r="B175" s="33" t="s">
        <v>122</v>
      </c>
      <c r="C175" s="34" t="s">
        <v>183</v>
      </c>
      <c r="D175" s="35" t="s">
        <v>184</v>
      </c>
      <c r="E175" s="36">
        <v>85000</v>
      </c>
      <c r="F175" s="36">
        <v>0</v>
      </c>
      <c r="G175" s="37">
        <v>0</v>
      </c>
      <c r="H175" s="37">
        <v>0</v>
      </c>
      <c r="I175" s="36">
        <f>H175+85000</f>
        <v>85000</v>
      </c>
      <c r="J175" s="36">
        <f t="shared" si="41"/>
        <v>0</v>
      </c>
      <c r="K175" s="22"/>
      <c r="L175" s="21"/>
      <c r="M175" s="22"/>
    </row>
    <row r="176" spans="1:13" ht="39.950000000000003" customHeight="1" x14ac:dyDescent="0.3">
      <c r="A176" s="32" t="s">
        <v>177</v>
      </c>
      <c r="B176" s="33" t="s">
        <v>122</v>
      </c>
      <c r="C176" s="34" t="s">
        <v>183</v>
      </c>
      <c r="D176" s="35" t="s">
        <v>185</v>
      </c>
      <c r="E176" s="36">
        <v>5000</v>
      </c>
      <c r="F176" s="36">
        <v>0</v>
      </c>
      <c r="G176" s="37">
        <v>0</v>
      </c>
      <c r="H176" s="37">
        <v>5000</v>
      </c>
      <c r="I176" s="36">
        <f>H176</f>
        <v>5000</v>
      </c>
      <c r="J176" s="36">
        <f t="shared" si="41"/>
        <v>0</v>
      </c>
      <c r="K176" s="22"/>
      <c r="L176" s="21"/>
      <c r="M176" s="22"/>
    </row>
    <row r="177" spans="1:13" ht="47.25" customHeight="1" x14ac:dyDescent="0.3">
      <c r="A177" s="32" t="s">
        <v>177</v>
      </c>
      <c r="B177" s="33" t="s">
        <v>122</v>
      </c>
      <c r="C177" s="34" t="s">
        <v>131</v>
      </c>
      <c r="D177" s="35" t="s">
        <v>186</v>
      </c>
      <c r="E177" s="36">
        <v>19000</v>
      </c>
      <c r="F177" s="36">
        <v>0</v>
      </c>
      <c r="G177" s="37">
        <v>0</v>
      </c>
      <c r="H177" s="37">
        <v>0</v>
      </c>
      <c r="I177" s="36">
        <f>H177+19000</f>
        <v>19000</v>
      </c>
      <c r="J177" s="36">
        <f t="shared" si="41"/>
        <v>0</v>
      </c>
      <c r="K177" s="22"/>
      <c r="L177" s="21"/>
      <c r="M177" s="22"/>
    </row>
    <row r="178" spans="1:13" ht="48" customHeight="1" x14ac:dyDescent="0.3">
      <c r="A178" s="32" t="s">
        <v>177</v>
      </c>
      <c r="B178" s="33" t="s">
        <v>122</v>
      </c>
      <c r="C178" s="34" t="s">
        <v>187</v>
      </c>
      <c r="D178" s="35" t="s">
        <v>188</v>
      </c>
      <c r="E178" s="36">
        <v>960000</v>
      </c>
      <c r="F178" s="36">
        <v>0</v>
      </c>
      <c r="G178" s="37">
        <v>960000</v>
      </c>
      <c r="H178" s="37">
        <v>0</v>
      </c>
      <c r="I178" s="36">
        <v>0</v>
      </c>
      <c r="J178" s="36">
        <f t="shared" si="41"/>
        <v>0</v>
      </c>
      <c r="K178" s="22"/>
      <c r="L178" s="21"/>
      <c r="M178" s="22"/>
    </row>
    <row r="179" spans="1:13" ht="39.950000000000003" customHeight="1" x14ac:dyDescent="0.3">
      <c r="A179" s="32" t="s">
        <v>177</v>
      </c>
      <c r="B179" s="33" t="s">
        <v>122</v>
      </c>
      <c r="C179" s="34" t="s">
        <v>187</v>
      </c>
      <c r="D179" s="35" t="s">
        <v>189</v>
      </c>
      <c r="E179" s="36">
        <v>251600</v>
      </c>
      <c r="F179" s="36">
        <v>0</v>
      </c>
      <c r="G179" s="37">
        <v>120000</v>
      </c>
      <c r="H179" s="37">
        <v>123000</v>
      </c>
      <c r="I179" s="36">
        <f>H179</f>
        <v>123000</v>
      </c>
      <c r="J179" s="36">
        <f t="shared" si="41"/>
        <v>8600</v>
      </c>
      <c r="K179" s="22"/>
      <c r="L179" s="21"/>
      <c r="M179" s="22"/>
    </row>
    <row r="180" spans="1:13" s="31" customFormat="1" ht="39.950000000000003" customHeight="1" x14ac:dyDescent="0.3">
      <c r="A180" s="26" t="s">
        <v>63</v>
      </c>
      <c r="B180" s="26" t="s">
        <v>64</v>
      </c>
      <c r="C180" s="27" t="s">
        <v>65</v>
      </c>
      <c r="D180" s="28" t="s">
        <v>66</v>
      </c>
      <c r="E180" s="29" t="s">
        <v>67</v>
      </c>
      <c r="F180" s="29" t="s">
        <v>68</v>
      </c>
      <c r="G180" s="30" t="s">
        <v>69</v>
      </c>
      <c r="H180" s="30" t="s">
        <v>70</v>
      </c>
      <c r="I180" s="29" t="s">
        <v>71</v>
      </c>
      <c r="J180" s="29" t="s">
        <v>72</v>
      </c>
      <c r="K180" s="22"/>
      <c r="L180" s="21"/>
      <c r="M180" s="22"/>
    </row>
    <row r="181" spans="1:13" ht="39.950000000000003" customHeight="1" x14ac:dyDescent="0.3">
      <c r="A181" s="32" t="s">
        <v>177</v>
      </c>
      <c r="B181" s="33" t="s">
        <v>122</v>
      </c>
      <c r="C181" s="34" t="s">
        <v>135</v>
      </c>
      <c r="D181" s="35"/>
      <c r="E181" s="36">
        <v>500000</v>
      </c>
      <c r="F181" s="36">
        <v>0</v>
      </c>
      <c r="G181" s="37">
        <v>0</v>
      </c>
      <c r="H181" s="37">
        <v>6200</v>
      </c>
      <c r="I181" s="36">
        <f>H181+117255+64130+31530+42000+42930+9733+25870+40665+111950</f>
        <v>492263</v>
      </c>
      <c r="J181" s="36">
        <f>E181+F181-G181-I181</f>
        <v>7737</v>
      </c>
      <c r="K181" s="22"/>
      <c r="L181" s="21"/>
      <c r="M181" s="22"/>
    </row>
    <row r="182" spans="1:13" ht="18.75" customHeight="1" x14ac:dyDescent="0.3">
      <c r="A182" s="48" t="s">
        <v>136</v>
      </c>
      <c r="B182" s="48"/>
      <c r="C182" s="48"/>
      <c r="D182" s="48"/>
      <c r="E182" s="39">
        <f t="shared" ref="E182:J182" si="42">SUM(E173:E181)</f>
        <v>3823600</v>
      </c>
      <c r="F182" s="39">
        <f t="shared" si="42"/>
        <v>0</v>
      </c>
      <c r="G182" s="39">
        <f t="shared" si="42"/>
        <v>1380000</v>
      </c>
      <c r="H182" s="39">
        <f t="shared" si="42"/>
        <v>134200</v>
      </c>
      <c r="I182" s="39">
        <f t="shared" si="42"/>
        <v>724263</v>
      </c>
      <c r="J182" s="39">
        <f t="shared" si="42"/>
        <v>1719337</v>
      </c>
      <c r="K182" s="22"/>
      <c r="L182" s="21"/>
      <c r="M182" s="22"/>
    </row>
    <row r="183" spans="1:13" ht="48.75" customHeight="1" x14ac:dyDescent="0.3">
      <c r="A183" s="32" t="s">
        <v>177</v>
      </c>
      <c r="B183" s="33" t="s">
        <v>137</v>
      </c>
      <c r="C183" s="34" t="s">
        <v>190</v>
      </c>
      <c r="D183" s="35" t="s">
        <v>191</v>
      </c>
      <c r="E183" s="36">
        <v>0</v>
      </c>
      <c r="F183" s="36">
        <v>300000</v>
      </c>
      <c r="G183" s="37">
        <v>0</v>
      </c>
      <c r="H183" s="37">
        <v>0</v>
      </c>
      <c r="I183" s="36">
        <f>H183+290000</f>
        <v>290000</v>
      </c>
      <c r="J183" s="36">
        <f>E183+F183-G183-I183</f>
        <v>10000</v>
      </c>
      <c r="K183" s="22"/>
      <c r="L183" s="21"/>
      <c r="M183" s="22"/>
    </row>
    <row r="184" spans="1:13" ht="19.5" customHeight="1" x14ac:dyDescent="0.3">
      <c r="A184" s="38" t="s">
        <v>140</v>
      </c>
      <c r="B184" s="38"/>
      <c r="C184" s="38"/>
      <c r="D184" s="38"/>
      <c r="E184" s="39">
        <f t="shared" ref="E184:J184" si="43">E183</f>
        <v>0</v>
      </c>
      <c r="F184" s="39">
        <f t="shared" si="43"/>
        <v>300000</v>
      </c>
      <c r="G184" s="39">
        <f t="shared" si="43"/>
        <v>0</v>
      </c>
      <c r="H184" s="39">
        <f t="shared" si="43"/>
        <v>0</v>
      </c>
      <c r="I184" s="39">
        <f t="shared" si="43"/>
        <v>290000</v>
      </c>
      <c r="J184" s="39">
        <f t="shared" si="43"/>
        <v>10000</v>
      </c>
      <c r="K184" s="22"/>
      <c r="L184" s="21"/>
      <c r="M184" s="22"/>
    </row>
    <row r="185" spans="1:13" ht="18.75" customHeight="1" x14ac:dyDescent="0.3">
      <c r="A185" s="38" t="s">
        <v>192</v>
      </c>
      <c r="B185" s="38"/>
      <c r="C185" s="38"/>
      <c r="D185" s="38"/>
      <c r="E185" s="39">
        <f>E154+E159+E163+E172+E182</f>
        <v>7162560</v>
      </c>
      <c r="F185" s="39">
        <f>F154+F159+F163+F172+F182+F184</f>
        <v>2727000</v>
      </c>
      <c r="G185" s="39">
        <f>G154+G159+G163+G172+G182+G184</f>
        <v>1464000</v>
      </c>
      <c r="H185" s="39">
        <f>H154+H159+H163+H172+H182+H184</f>
        <v>757381</v>
      </c>
      <c r="I185" s="39">
        <f>I154+I159+I163+I172+I182+I184</f>
        <v>5585809.6200000001</v>
      </c>
      <c r="J185" s="39">
        <f>J154+J159+J163+J172+J182+J184</f>
        <v>2839750.38</v>
      </c>
      <c r="K185" s="22"/>
      <c r="L185" s="21"/>
      <c r="M185" s="22"/>
    </row>
    <row r="186" spans="1:13" ht="48.75" customHeight="1" x14ac:dyDescent="0.3">
      <c r="A186" s="32" t="s">
        <v>193</v>
      </c>
      <c r="B186" s="33" t="s">
        <v>137</v>
      </c>
      <c r="C186" s="34" t="s">
        <v>194</v>
      </c>
      <c r="D186" s="35" t="s">
        <v>195</v>
      </c>
      <c r="E186" s="36">
        <v>244000</v>
      </c>
      <c r="F186" s="36">
        <v>0</v>
      </c>
      <c r="G186" s="37">
        <v>0</v>
      </c>
      <c r="H186" s="37">
        <v>226000</v>
      </c>
      <c r="I186" s="36">
        <f>H186</f>
        <v>226000</v>
      </c>
      <c r="J186" s="36">
        <f>E186+F186-G186-I186</f>
        <v>18000</v>
      </c>
      <c r="K186" s="22"/>
      <c r="L186" s="21"/>
      <c r="M186" s="22"/>
    </row>
    <row r="187" spans="1:13" ht="20.25" customHeight="1" x14ac:dyDescent="0.3">
      <c r="A187" s="38" t="s">
        <v>140</v>
      </c>
      <c r="B187" s="38"/>
      <c r="C187" s="38"/>
      <c r="D187" s="38"/>
      <c r="E187" s="39">
        <f t="shared" ref="E187:J187" si="44">E186</f>
        <v>244000</v>
      </c>
      <c r="F187" s="39">
        <f t="shared" si="44"/>
        <v>0</v>
      </c>
      <c r="G187" s="39">
        <f t="shared" si="44"/>
        <v>0</v>
      </c>
      <c r="H187" s="39">
        <f t="shared" si="44"/>
        <v>226000</v>
      </c>
      <c r="I187" s="39">
        <f t="shared" si="44"/>
        <v>226000</v>
      </c>
      <c r="J187" s="39">
        <f t="shared" si="44"/>
        <v>18000</v>
      </c>
      <c r="K187" s="22"/>
      <c r="L187" s="21"/>
      <c r="M187" s="22"/>
    </row>
    <row r="188" spans="1:13" ht="19.5" customHeight="1" x14ac:dyDescent="0.3">
      <c r="A188" s="32" t="s">
        <v>193</v>
      </c>
      <c r="B188" s="33" t="s">
        <v>143</v>
      </c>
      <c r="C188" s="34" t="s">
        <v>169</v>
      </c>
      <c r="D188" s="35"/>
      <c r="E188" s="36">
        <v>398670</v>
      </c>
      <c r="F188" s="36">
        <v>0</v>
      </c>
      <c r="G188" s="37">
        <v>0</v>
      </c>
      <c r="H188" s="37">
        <v>314390.82</v>
      </c>
      <c r="I188" s="36">
        <f>H188</f>
        <v>314390.82</v>
      </c>
      <c r="J188" s="36">
        <f>E188+F188-G188-I188</f>
        <v>84279.18</v>
      </c>
      <c r="K188" s="22"/>
      <c r="L188" s="21"/>
      <c r="M188" s="22"/>
    </row>
    <row r="189" spans="1:13" ht="19.5" customHeight="1" x14ac:dyDescent="0.3">
      <c r="A189" s="48" t="s">
        <v>145</v>
      </c>
      <c r="B189" s="48"/>
      <c r="C189" s="48"/>
      <c r="D189" s="48"/>
      <c r="E189" s="39">
        <f t="shared" ref="E189:J189" si="45">E188</f>
        <v>398670</v>
      </c>
      <c r="F189" s="39">
        <f t="shared" si="45"/>
        <v>0</v>
      </c>
      <c r="G189" s="39">
        <f t="shared" si="45"/>
        <v>0</v>
      </c>
      <c r="H189" s="39">
        <f t="shared" si="45"/>
        <v>314390.82</v>
      </c>
      <c r="I189" s="39">
        <f t="shared" si="45"/>
        <v>314390.82</v>
      </c>
      <c r="J189" s="39">
        <f t="shared" si="45"/>
        <v>84279.18</v>
      </c>
      <c r="K189" s="22"/>
      <c r="L189" s="21"/>
      <c r="M189" s="22"/>
    </row>
    <row r="190" spans="1:13" ht="17.25" customHeight="1" x14ac:dyDescent="0.3">
      <c r="A190" s="48" t="s">
        <v>196</v>
      </c>
      <c r="B190" s="48"/>
      <c r="C190" s="48"/>
      <c r="D190" s="48"/>
      <c r="E190" s="39">
        <f t="shared" ref="E190:J190" si="46">E187+E189</f>
        <v>642670</v>
      </c>
      <c r="F190" s="39">
        <f t="shared" si="46"/>
        <v>0</v>
      </c>
      <c r="G190" s="39">
        <f t="shared" si="46"/>
        <v>0</v>
      </c>
      <c r="H190" s="39">
        <f t="shared" si="46"/>
        <v>540390.82000000007</v>
      </c>
      <c r="I190" s="39">
        <f t="shared" si="46"/>
        <v>540390.82000000007</v>
      </c>
      <c r="J190" s="39">
        <f t="shared" si="46"/>
        <v>102279.18</v>
      </c>
      <c r="K190" s="22"/>
      <c r="L190" s="21"/>
      <c r="M190" s="22"/>
    </row>
    <row r="191" spans="1:13" ht="34.5" customHeight="1" x14ac:dyDescent="0.3">
      <c r="A191" s="56" t="s">
        <v>197</v>
      </c>
      <c r="B191" s="33" t="s">
        <v>96</v>
      </c>
      <c r="C191" s="34" t="s">
        <v>99</v>
      </c>
      <c r="D191" s="35" t="s">
        <v>198</v>
      </c>
      <c r="E191" s="36">
        <v>40000</v>
      </c>
      <c r="F191" s="36">
        <v>0</v>
      </c>
      <c r="G191" s="37">
        <f>35000+4500</f>
        <v>39500</v>
      </c>
      <c r="H191" s="37">
        <v>0</v>
      </c>
      <c r="I191" s="36">
        <f>H191+300</f>
        <v>300</v>
      </c>
      <c r="J191" s="36">
        <f>E191+F191-G191-I191</f>
        <v>200</v>
      </c>
      <c r="K191" s="22"/>
      <c r="L191" s="21"/>
      <c r="M191" s="22"/>
    </row>
    <row r="192" spans="1:13" ht="64.5" customHeight="1" x14ac:dyDescent="0.3">
      <c r="A192" s="56" t="s">
        <v>197</v>
      </c>
      <c r="B192" s="33" t="s">
        <v>96</v>
      </c>
      <c r="C192" s="34" t="s">
        <v>99</v>
      </c>
      <c r="D192" s="35" t="s">
        <v>199</v>
      </c>
      <c r="E192" s="36">
        <v>20000</v>
      </c>
      <c r="F192" s="36">
        <v>0</v>
      </c>
      <c r="G192" s="37">
        <f>19000+1000</f>
        <v>20000</v>
      </c>
      <c r="H192" s="37">
        <v>0</v>
      </c>
      <c r="I192" s="36">
        <v>0</v>
      </c>
      <c r="J192" s="36">
        <f>E192+F192-G192-I192</f>
        <v>0</v>
      </c>
      <c r="K192" s="22"/>
      <c r="L192" s="21"/>
      <c r="M192" s="22"/>
    </row>
    <row r="193" spans="1:13" ht="64.5" customHeight="1" x14ac:dyDescent="0.3">
      <c r="A193" s="56" t="s">
        <v>197</v>
      </c>
      <c r="B193" s="33" t="s">
        <v>96</v>
      </c>
      <c r="C193" s="34" t="s">
        <v>99</v>
      </c>
      <c r="D193" s="35" t="s">
        <v>200</v>
      </c>
      <c r="E193" s="36">
        <v>50000</v>
      </c>
      <c r="F193" s="36">
        <v>0</v>
      </c>
      <c r="G193" s="37">
        <f>49000+1000</f>
        <v>50000</v>
      </c>
      <c r="H193" s="37">
        <v>0</v>
      </c>
      <c r="I193" s="36">
        <v>0</v>
      </c>
      <c r="J193" s="36">
        <f>E193+F193-G193-I193</f>
        <v>0</v>
      </c>
      <c r="K193" s="22"/>
      <c r="L193" s="21"/>
      <c r="M193" s="22"/>
    </row>
    <row r="194" spans="1:13" ht="57" customHeight="1" x14ac:dyDescent="0.3">
      <c r="A194" s="32" t="s">
        <v>197</v>
      </c>
      <c r="B194" s="33" t="s">
        <v>96</v>
      </c>
      <c r="C194" s="34" t="s">
        <v>99</v>
      </c>
      <c r="D194" s="41" t="s">
        <v>201</v>
      </c>
      <c r="E194" s="36">
        <v>30000</v>
      </c>
      <c r="F194" s="36">
        <v>0</v>
      </c>
      <c r="G194" s="37">
        <f>29000+1000</f>
        <v>30000</v>
      </c>
      <c r="H194" s="37">
        <v>0</v>
      </c>
      <c r="I194" s="36">
        <v>0</v>
      </c>
      <c r="J194" s="36">
        <f>E194+F194-G194-I194</f>
        <v>0</v>
      </c>
      <c r="K194" s="22"/>
      <c r="L194" s="21"/>
      <c r="M194" s="22"/>
    </row>
    <row r="195" spans="1:13" s="31" customFormat="1" ht="39.950000000000003" customHeight="1" x14ac:dyDescent="0.3">
      <c r="A195" s="26" t="s">
        <v>63</v>
      </c>
      <c r="B195" s="26" t="s">
        <v>64</v>
      </c>
      <c r="C195" s="27" t="s">
        <v>65</v>
      </c>
      <c r="D195" s="28" t="s">
        <v>66</v>
      </c>
      <c r="E195" s="29" t="s">
        <v>67</v>
      </c>
      <c r="F195" s="29" t="s">
        <v>68</v>
      </c>
      <c r="G195" s="30" t="s">
        <v>69</v>
      </c>
      <c r="H195" s="30" t="s">
        <v>70</v>
      </c>
      <c r="I195" s="29" t="s">
        <v>71</v>
      </c>
      <c r="J195" s="29" t="s">
        <v>72</v>
      </c>
      <c r="K195" s="22"/>
      <c r="L195" s="21"/>
      <c r="M195" s="22"/>
    </row>
    <row r="196" spans="1:13" ht="55.5" customHeight="1" x14ac:dyDescent="0.3">
      <c r="A196" s="32" t="s">
        <v>197</v>
      </c>
      <c r="B196" s="33" t="s">
        <v>96</v>
      </c>
      <c r="C196" s="34" t="s">
        <v>99</v>
      </c>
      <c r="D196" s="35" t="s">
        <v>202</v>
      </c>
      <c r="E196" s="36">
        <v>30000</v>
      </c>
      <c r="F196" s="36">
        <v>0</v>
      </c>
      <c r="G196" s="37">
        <f>29000+1000</f>
        <v>30000</v>
      </c>
      <c r="H196" s="37">
        <v>0</v>
      </c>
      <c r="I196" s="36">
        <v>0</v>
      </c>
      <c r="J196" s="36">
        <f>E196+F196-G196-I196</f>
        <v>0</v>
      </c>
      <c r="K196" s="22"/>
      <c r="L196" s="21"/>
      <c r="M196" s="22"/>
    </row>
    <row r="197" spans="1:13" ht="55.5" customHeight="1" x14ac:dyDescent="0.3">
      <c r="A197" s="32" t="s">
        <v>197</v>
      </c>
      <c r="B197" s="33" t="s">
        <v>96</v>
      </c>
      <c r="C197" s="34" t="s">
        <v>99</v>
      </c>
      <c r="D197" s="35" t="s">
        <v>203</v>
      </c>
      <c r="E197" s="36">
        <v>30000</v>
      </c>
      <c r="F197" s="36">
        <v>0</v>
      </c>
      <c r="G197" s="37">
        <f>29000+1000</f>
        <v>30000</v>
      </c>
      <c r="H197" s="37">
        <v>0</v>
      </c>
      <c r="I197" s="36">
        <v>0</v>
      </c>
      <c r="J197" s="36">
        <f>E197+F197-G197-I197</f>
        <v>0</v>
      </c>
      <c r="K197" s="22"/>
      <c r="L197" s="21"/>
      <c r="M197" s="22"/>
    </row>
    <row r="198" spans="1:13" ht="22.5" customHeight="1" x14ac:dyDescent="0.3">
      <c r="A198" s="48" t="s">
        <v>107</v>
      </c>
      <c r="B198" s="48"/>
      <c r="C198" s="48"/>
      <c r="D198" s="48"/>
      <c r="E198" s="39">
        <f t="shared" ref="E198:J198" si="47">SUM(E191:E197)</f>
        <v>200000</v>
      </c>
      <c r="F198" s="39">
        <f t="shared" si="47"/>
        <v>0</v>
      </c>
      <c r="G198" s="39">
        <f t="shared" si="47"/>
        <v>199500</v>
      </c>
      <c r="H198" s="39">
        <f t="shared" si="47"/>
        <v>0</v>
      </c>
      <c r="I198" s="39">
        <f t="shared" si="47"/>
        <v>300</v>
      </c>
      <c r="J198" s="39">
        <f t="shared" si="47"/>
        <v>200</v>
      </c>
      <c r="K198" s="22"/>
      <c r="L198" s="21"/>
      <c r="M198" s="22"/>
    </row>
    <row r="199" spans="1:13" ht="21.75" customHeight="1" x14ac:dyDescent="0.3">
      <c r="A199" s="38" t="s">
        <v>204</v>
      </c>
      <c r="B199" s="38"/>
      <c r="C199" s="38"/>
      <c r="D199" s="38"/>
      <c r="E199" s="39">
        <f t="shared" ref="E199:J199" si="48">E198</f>
        <v>200000</v>
      </c>
      <c r="F199" s="39">
        <f t="shared" si="48"/>
        <v>0</v>
      </c>
      <c r="G199" s="39">
        <f t="shared" si="48"/>
        <v>199500</v>
      </c>
      <c r="H199" s="39">
        <f t="shared" si="48"/>
        <v>0</v>
      </c>
      <c r="I199" s="39">
        <f t="shared" si="48"/>
        <v>300</v>
      </c>
      <c r="J199" s="39">
        <f t="shared" si="48"/>
        <v>200</v>
      </c>
      <c r="K199" s="22"/>
      <c r="L199" s="21"/>
      <c r="M199" s="22"/>
    </row>
    <row r="200" spans="1:13" ht="39.950000000000003" customHeight="1" x14ac:dyDescent="0.3">
      <c r="A200" s="32" t="s">
        <v>205</v>
      </c>
      <c r="B200" s="33" t="s">
        <v>96</v>
      </c>
      <c r="C200" s="34" t="s">
        <v>99</v>
      </c>
      <c r="D200" s="35" t="s">
        <v>206</v>
      </c>
      <c r="E200" s="36">
        <v>120000</v>
      </c>
      <c r="F200" s="36">
        <v>0</v>
      </c>
      <c r="G200" s="37">
        <v>0</v>
      </c>
      <c r="H200" s="37"/>
      <c r="I200" s="36">
        <f>H200+119774</f>
        <v>119774</v>
      </c>
      <c r="J200" s="36">
        <f t="shared" ref="J200:J205" si="49">E200+F200-G200-I200</f>
        <v>226</v>
      </c>
      <c r="K200" s="22"/>
      <c r="L200" s="21"/>
      <c r="M200" s="22"/>
    </row>
    <row r="201" spans="1:13" ht="52.5" customHeight="1" x14ac:dyDescent="0.3">
      <c r="A201" s="32" t="s">
        <v>205</v>
      </c>
      <c r="B201" s="33" t="s">
        <v>96</v>
      </c>
      <c r="C201" s="34" t="s">
        <v>99</v>
      </c>
      <c r="D201" s="35" t="s">
        <v>207</v>
      </c>
      <c r="E201" s="36">
        <v>40000</v>
      </c>
      <c r="F201" s="36">
        <v>0</v>
      </c>
      <c r="G201" s="37">
        <v>40000</v>
      </c>
      <c r="H201" s="37">
        <v>0</v>
      </c>
      <c r="I201" s="36">
        <v>0</v>
      </c>
      <c r="J201" s="36">
        <f t="shared" si="49"/>
        <v>0</v>
      </c>
      <c r="K201" s="22"/>
      <c r="L201" s="21"/>
      <c r="M201" s="22"/>
    </row>
    <row r="202" spans="1:13" ht="33" customHeight="1" x14ac:dyDescent="0.3">
      <c r="A202" s="32" t="s">
        <v>205</v>
      </c>
      <c r="B202" s="33" t="s">
        <v>96</v>
      </c>
      <c r="C202" s="34" t="s">
        <v>99</v>
      </c>
      <c r="D202" s="35" t="s">
        <v>208</v>
      </c>
      <c r="E202" s="36"/>
      <c r="F202" s="36">
        <v>40000</v>
      </c>
      <c r="G202" s="37">
        <v>0</v>
      </c>
      <c r="H202" s="37">
        <v>0</v>
      </c>
      <c r="I202" s="36">
        <f>H202+40000</f>
        <v>40000</v>
      </c>
      <c r="J202" s="36">
        <f>E202+F202-G202-I202</f>
        <v>0</v>
      </c>
      <c r="K202" s="22"/>
      <c r="L202" s="21"/>
      <c r="M202" s="22"/>
    </row>
    <row r="203" spans="1:13" ht="65.25" customHeight="1" x14ac:dyDescent="0.3">
      <c r="A203" s="32" t="s">
        <v>205</v>
      </c>
      <c r="B203" s="33" t="s">
        <v>96</v>
      </c>
      <c r="C203" s="34" t="s">
        <v>99</v>
      </c>
      <c r="D203" s="35" t="s">
        <v>209</v>
      </c>
      <c r="E203" s="36">
        <v>470000</v>
      </c>
      <c r="F203" s="36">
        <v>109900</v>
      </c>
      <c r="G203" s="37">
        <v>0</v>
      </c>
      <c r="H203" s="37">
        <v>0</v>
      </c>
      <c r="I203" s="36">
        <f>H203+309720+270100</f>
        <v>579820</v>
      </c>
      <c r="J203" s="36">
        <f t="shared" si="49"/>
        <v>80</v>
      </c>
      <c r="K203" s="22"/>
      <c r="L203" s="21"/>
      <c r="M203" s="22"/>
    </row>
    <row r="204" spans="1:13" ht="64.5" customHeight="1" x14ac:dyDescent="0.3">
      <c r="A204" s="32" t="s">
        <v>205</v>
      </c>
      <c r="B204" s="33" t="s">
        <v>96</v>
      </c>
      <c r="C204" s="34" t="s">
        <v>99</v>
      </c>
      <c r="D204" s="35" t="s">
        <v>210</v>
      </c>
      <c r="E204" s="36">
        <v>90000</v>
      </c>
      <c r="F204" s="36">
        <v>0</v>
      </c>
      <c r="G204" s="37">
        <v>0</v>
      </c>
      <c r="H204" s="37">
        <v>0</v>
      </c>
      <c r="I204" s="36">
        <f>H204+89675</f>
        <v>89675</v>
      </c>
      <c r="J204" s="36">
        <f t="shared" si="49"/>
        <v>325</v>
      </c>
      <c r="K204" s="22"/>
      <c r="L204" s="21"/>
      <c r="M204" s="22"/>
    </row>
    <row r="205" spans="1:13" ht="63.75" customHeight="1" x14ac:dyDescent="0.3">
      <c r="A205" s="32" t="s">
        <v>205</v>
      </c>
      <c r="B205" s="33" t="s">
        <v>96</v>
      </c>
      <c r="C205" s="34" t="s">
        <v>99</v>
      </c>
      <c r="D205" s="35" t="s">
        <v>211</v>
      </c>
      <c r="E205" s="36">
        <v>60000</v>
      </c>
      <c r="F205" s="36">
        <v>0</v>
      </c>
      <c r="G205" s="37">
        <v>60000</v>
      </c>
      <c r="H205" s="37">
        <v>0</v>
      </c>
      <c r="I205" s="36">
        <v>0</v>
      </c>
      <c r="J205" s="36">
        <f t="shared" si="49"/>
        <v>0</v>
      </c>
      <c r="K205" s="22"/>
      <c r="L205" s="21"/>
      <c r="M205" s="22"/>
    </row>
    <row r="206" spans="1:13" s="31" customFormat="1" ht="39.950000000000003" customHeight="1" x14ac:dyDescent="0.3">
      <c r="A206" s="26" t="s">
        <v>63</v>
      </c>
      <c r="B206" s="26" t="s">
        <v>64</v>
      </c>
      <c r="C206" s="27" t="s">
        <v>65</v>
      </c>
      <c r="D206" s="28" t="s">
        <v>66</v>
      </c>
      <c r="E206" s="29" t="s">
        <v>67</v>
      </c>
      <c r="F206" s="29" t="s">
        <v>68</v>
      </c>
      <c r="G206" s="30" t="s">
        <v>69</v>
      </c>
      <c r="H206" s="30" t="s">
        <v>70</v>
      </c>
      <c r="I206" s="29" t="s">
        <v>71</v>
      </c>
      <c r="J206" s="29" t="s">
        <v>72</v>
      </c>
      <c r="K206" s="22"/>
      <c r="L206" s="21"/>
      <c r="M206" s="22"/>
    </row>
    <row r="207" spans="1:13" ht="48" customHeight="1" x14ac:dyDescent="0.3">
      <c r="A207" s="32" t="s">
        <v>205</v>
      </c>
      <c r="B207" s="33" t="s">
        <v>96</v>
      </c>
      <c r="C207" s="34" t="s">
        <v>99</v>
      </c>
      <c r="D207" s="35" t="s">
        <v>212</v>
      </c>
      <c r="E207" s="36">
        <v>60000</v>
      </c>
      <c r="F207" s="36">
        <v>0</v>
      </c>
      <c r="G207" s="37">
        <v>0</v>
      </c>
      <c r="H207" s="37">
        <v>0</v>
      </c>
      <c r="I207" s="36">
        <f>H207+55302+4500</f>
        <v>59802</v>
      </c>
      <c r="J207" s="36">
        <f>E207+F207-G207-I207</f>
        <v>198</v>
      </c>
      <c r="K207" s="22"/>
      <c r="L207" s="21"/>
      <c r="M207" s="22"/>
    </row>
    <row r="208" spans="1:13" ht="22.5" customHeight="1" x14ac:dyDescent="0.3">
      <c r="A208" s="48" t="s">
        <v>107</v>
      </c>
      <c r="B208" s="48"/>
      <c r="C208" s="48"/>
      <c r="D208" s="48"/>
      <c r="E208" s="39">
        <f t="shared" ref="E208:J208" si="50">SUM(E200:E207)</f>
        <v>840000</v>
      </c>
      <c r="F208" s="39">
        <f t="shared" si="50"/>
        <v>149900</v>
      </c>
      <c r="G208" s="39">
        <f t="shared" si="50"/>
        <v>100000</v>
      </c>
      <c r="H208" s="39">
        <f t="shared" si="50"/>
        <v>0</v>
      </c>
      <c r="I208" s="39">
        <f t="shared" si="50"/>
        <v>889071</v>
      </c>
      <c r="J208" s="39">
        <f t="shared" si="50"/>
        <v>829</v>
      </c>
      <c r="K208" s="22"/>
      <c r="L208" s="21"/>
      <c r="M208" s="22"/>
    </row>
    <row r="209" spans="1:13" ht="21" customHeight="1" x14ac:dyDescent="0.3">
      <c r="A209" s="32" t="s">
        <v>205</v>
      </c>
      <c r="B209" s="33" t="s">
        <v>143</v>
      </c>
      <c r="C209" s="34" t="s">
        <v>169</v>
      </c>
      <c r="D209" s="35"/>
      <c r="E209" s="36">
        <v>95000</v>
      </c>
      <c r="F209" s="36">
        <v>10000</v>
      </c>
      <c r="G209" s="37">
        <v>10000</v>
      </c>
      <c r="H209" s="37">
        <v>0</v>
      </c>
      <c r="I209" s="36">
        <f>H209+10000-10000+60000+15000+20000</f>
        <v>95000</v>
      </c>
      <c r="J209" s="36">
        <f>E209+F209-G209-I209</f>
        <v>0</v>
      </c>
      <c r="K209" s="22"/>
      <c r="L209" s="21"/>
      <c r="M209" s="22"/>
    </row>
    <row r="210" spans="1:13" ht="39.950000000000003" customHeight="1" x14ac:dyDescent="0.3">
      <c r="A210" s="32" t="s">
        <v>205</v>
      </c>
      <c r="B210" s="33" t="s">
        <v>143</v>
      </c>
      <c r="C210" s="34" t="s">
        <v>175</v>
      </c>
      <c r="D210" s="35"/>
      <c r="E210" s="36">
        <v>305000</v>
      </c>
      <c r="F210" s="36">
        <v>0</v>
      </c>
      <c r="G210" s="37">
        <v>0</v>
      </c>
      <c r="H210" s="37">
        <v>0</v>
      </c>
      <c r="I210" s="36">
        <f>H210+30000+50000+225000</f>
        <v>305000</v>
      </c>
      <c r="J210" s="36">
        <f>E210+F210-G210-I210</f>
        <v>0</v>
      </c>
      <c r="K210" s="22"/>
      <c r="L210" s="21"/>
      <c r="M210" s="22"/>
    </row>
    <row r="211" spans="1:13" ht="19.5" customHeight="1" x14ac:dyDescent="0.3">
      <c r="A211" s="48" t="s">
        <v>145</v>
      </c>
      <c r="B211" s="48"/>
      <c r="C211" s="48"/>
      <c r="D211" s="48"/>
      <c r="E211" s="39">
        <f t="shared" ref="E211:J211" si="51">SUM(E209:E210)</f>
        <v>400000</v>
      </c>
      <c r="F211" s="39">
        <f t="shared" si="51"/>
        <v>10000</v>
      </c>
      <c r="G211" s="39">
        <f t="shared" si="51"/>
        <v>10000</v>
      </c>
      <c r="H211" s="39">
        <f t="shared" si="51"/>
        <v>0</v>
      </c>
      <c r="I211" s="39">
        <f t="shared" si="51"/>
        <v>400000</v>
      </c>
      <c r="J211" s="39">
        <f t="shared" si="51"/>
        <v>0</v>
      </c>
      <c r="K211" s="22"/>
      <c r="L211" s="21"/>
      <c r="M211" s="22"/>
    </row>
    <row r="212" spans="1:13" ht="21" customHeight="1" x14ac:dyDescent="0.3">
      <c r="A212" s="38" t="s">
        <v>213</v>
      </c>
      <c r="B212" s="38"/>
      <c r="C212" s="38"/>
      <c r="D212" s="38"/>
      <c r="E212" s="39">
        <f t="shared" ref="E212:J212" si="52">E208+E211</f>
        <v>1240000</v>
      </c>
      <c r="F212" s="39">
        <f t="shared" si="52"/>
        <v>159900</v>
      </c>
      <c r="G212" s="39">
        <f t="shared" si="52"/>
        <v>110000</v>
      </c>
      <c r="H212" s="39">
        <f t="shared" si="52"/>
        <v>0</v>
      </c>
      <c r="I212" s="39">
        <f t="shared" si="52"/>
        <v>1289071</v>
      </c>
      <c r="J212" s="39">
        <f t="shared" si="52"/>
        <v>829</v>
      </c>
      <c r="K212" s="22"/>
      <c r="L212" s="21"/>
      <c r="M212" s="22"/>
    </row>
    <row r="213" spans="1:13" ht="39.950000000000003" customHeight="1" x14ac:dyDescent="0.3">
      <c r="A213" s="32" t="s">
        <v>214</v>
      </c>
      <c r="B213" s="33" t="s">
        <v>96</v>
      </c>
      <c r="C213" s="34" t="s">
        <v>99</v>
      </c>
      <c r="D213" s="35" t="s">
        <v>215</v>
      </c>
      <c r="E213" s="36">
        <v>90000</v>
      </c>
      <c r="F213" s="36">
        <v>0</v>
      </c>
      <c r="G213" s="37">
        <v>0</v>
      </c>
      <c r="H213" s="37">
        <v>0</v>
      </c>
      <c r="I213" s="36">
        <f>H213+90000</f>
        <v>90000</v>
      </c>
      <c r="J213" s="36">
        <f>E213+F213-G213-I213</f>
        <v>0</v>
      </c>
      <c r="K213" s="22"/>
      <c r="L213" s="21"/>
      <c r="M213" s="22"/>
    </row>
    <row r="214" spans="1:13" ht="36" customHeight="1" x14ac:dyDescent="0.3">
      <c r="A214" s="32" t="s">
        <v>214</v>
      </c>
      <c r="B214" s="33" t="s">
        <v>96</v>
      </c>
      <c r="C214" s="34" t="s">
        <v>99</v>
      </c>
      <c r="D214" s="35" t="s">
        <v>216</v>
      </c>
      <c r="E214" s="36">
        <v>350000</v>
      </c>
      <c r="F214" s="36">
        <v>15000</v>
      </c>
      <c r="G214" s="37">
        <v>1900</v>
      </c>
      <c r="H214" s="37">
        <v>0</v>
      </c>
      <c r="I214" s="36">
        <f>H214+244400+118700</f>
        <v>363100</v>
      </c>
      <c r="J214" s="36">
        <f>E214+F214-G214-I214</f>
        <v>0</v>
      </c>
      <c r="K214" s="22"/>
      <c r="L214" s="21"/>
      <c r="M214" s="22"/>
    </row>
    <row r="215" spans="1:13" ht="66.75" customHeight="1" x14ac:dyDescent="0.3">
      <c r="A215" s="32" t="s">
        <v>214</v>
      </c>
      <c r="B215" s="33" t="s">
        <v>96</v>
      </c>
      <c r="C215" s="34" t="s">
        <v>99</v>
      </c>
      <c r="D215" s="35" t="s">
        <v>217</v>
      </c>
      <c r="E215" s="36">
        <v>250000</v>
      </c>
      <c r="F215" s="36">
        <v>0</v>
      </c>
      <c r="G215" s="37">
        <v>69900</v>
      </c>
      <c r="H215" s="36">
        <v>0</v>
      </c>
      <c r="I215" s="36">
        <f>H215+180095</f>
        <v>180095</v>
      </c>
      <c r="J215" s="36">
        <f>E215+F215-G215-I215</f>
        <v>5</v>
      </c>
      <c r="K215" s="22"/>
      <c r="L215" s="21"/>
      <c r="M215" s="22"/>
    </row>
    <row r="216" spans="1:13" ht="46.5" customHeight="1" x14ac:dyDescent="0.3">
      <c r="A216" s="32" t="s">
        <v>214</v>
      </c>
      <c r="B216" s="33" t="s">
        <v>96</v>
      </c>
      <c r="C216" s="34" t="s">
        <v>99</v>
      </c>
      <c r="D216" s="35" t="s">
        <v>218</v>
      </c>
      <c r="E216" s="36">
        <v>20000</v>
      </c>
      <c r="F216" s="36">
        <v>130000</v>
      </c>
      <c r="G216" s="37">
        <v>0</v>
      </c>
      <c r="H216" s="37">
        <v>0</v>
      </c>
      <c r="I216" s="36">
        <f>H216+82650+12850</f>
        <v>95500</v>
      </c>
      <c r="J216" s="36">
        <f>E216+F216-G216-I216</f>
        <v>54500</v>
      </c>
      <c r="K216" s="22"/>
      <c r="L216" s="21"/>
      <c r="M216" s="22"/>
    </row>
    <row r="217" spans="1:13" ht="39.950000000000003" customHeight="1" x14ac:dyDescent="0.3">
      <c r="A217" s="32" t="s">
        <v>214</v>
      </c>
      <c r="B217" s="33" t="s">
        <v>96</v>
      </c>
      <c r="C217" s="34" t="s">
        <v>99</v>
      </c>
      <c r="D217" s="35" t="s">
        <v>219</v>
      </c>
      <c r="E217" s="36">
        <v>5000</v>
      </c>
      <c r="F217" s="36">
        <v>0</v>
      </c>
      <c r="G217" s="37">
        <v>2000</v>
      </c>
      <c r="H217" s="37">
        <v>0</v>
      </c>
      <c r="I217" s="36">
        <f>H217+2300</f>
        <v>2300</v>
      </c>
      <c r="J217" s="36">
        <f>E217+F217-G217-I217</f>
        <v>700</v>
      </c>
      <c r="K217" s="22"/>
      <c r="L217" s="21"/>
      <c r="M217" s="22"/>
    </row>
    <row r="218" spans="1:13" ht="20.25" customHeight="1" x14ac:dyDescent="0.3">
      <c r="A218" s="48" t="s">
        <v>107</v>
      </c>
      <c r="B218" s="48"/>
      <c r="C218" s="48"/>
      <c r="D218" s="48"/>
      <c r="E218" s="39">
        <f t="shared" ref="E218:J218" si="53">SUM(E213:E217)</f>
        <v>715000</v>
      </c>
      <c r="F218" s="39">
        <f t="shared" si="53"/>
        <v>145000</v>
      </c>
      <c r="G218" s="39">
        <f t="shared" si="53"/>
        <v>73800</v>
      </c>
      <c r="H218" s="39">
        <f t="shared" si="53"/>
        <v>0</v>
      </c>
      <c r="I218" s="39">
        <f t="shared" si="53"/>
        <v>730995</v>
      </c>
      <c r="J218" s="39">
        <f t="shared" si="53"/>
        <v>55205</v>
      </c>
      <c r="K218" s="22"/>
      <c r="L218" s="21"/>
      <c r="M218" s="22"/>
    </row>
    <row r="219" spans="1:13" ht="39.950000000000003" customHeight="1" x14ac:dyDescent="0.3">
      <c r="A219" s="32" t="s">
        <v>214</v>
      </c>
      <c r="B219" s="33" t="s">
        <v>143</v>
      </c>
      <c r="C219" s="34" t="s">
        <v>169</v>
      </c>
      <c r="D219" s="35"/>
      <c r="E219" s="36">
        <v>96000</v>
      </c>
      <c r="F219" s="36">
        <v>0</v>
      </c>
      <c r="G219" s="37">
        <v>0</v>
      </c>
      <c r="H219" s="37">
        <v>0</v>
      </c>
      <c r="I219" s="36">
        <f>H219+41000+12000-444.45-5207.43+30000</f>
        <v>77348.12</v>
      </c>
      <c r="J219" s="36">
        <f>E219+F219-G219-I219</f>
        <v>18651.880000000005</v>
      </c>
      <c r="K219" s="22"/>
      <c r="L219" s="21"/>
      <c r="M219" s="22"/>
    </row>
    <row r="220" spans="1:13" ht="21" customHeight="1" x14ac:dyDescent="0.3">
      <c r="A220" s="48" t="s">
        <v>145</v>
      </c>
      <c r="B220" s="48"/>
      <c r="C220" s="48"/>
      <c r="D220" s="48"/>
      <c r="E220" s="39">
        <f t="shared" ref="E220:J220" si="54">E219</f>
        <v>96000</v>
      </c>
      <c r="F220" s="39">
        <f t="shared" si="54"/>
        <v>0</v>
      </c>
      <c r="G220" s="39">
        <f t="shared" si="54"/>
        <v>0</v>
      </c>
      <c r="H220" s="39">
        <f t="shared" si="54"/>
        <v>0</v>
      </c>
      <c r="I220" s="39">
        <f t="shared" si="54"/>
        <v>77348.12</v>
      </c>
      <c r="J220" s="39">
        <f t="shared" si="54"/>
        <v>18651.880000000005</v>
      </c>
      <c r="K220" s="22"/>
      <c r="L220" s="21"/>
      <c r="M220" s="22"/>
    </row>
    <row r="221" spans="1:13" ht="21" customHeight="1" x14ac:dyDescent="0.3">
      <c r="A221" s="38" t="s">
        <v>220</v>
      </c>
      <c r="B221" s="38"/>
      <c r="C221" s="38"/>
      <c r="D221" s="38"/>
      <c r="E221" s="39">
        <f t="shared" ref="E221:J221" si="55">E218+E220</f>
        <v>811000</v>
      </c>
      <c r="F221" s="39">
        <f t="shared" si="55"/>
        <v>145000</v>
      </c>
      <c r="G221" s="39">
        <f t="shared" si="55"/>
        <v>73800</v>
      </c>
      <c r="H221" s="39">
        <f t="shared" si="55"/>
        <v>0</v>
      </c>
      <c r="I221" s="39">
        <f t="shared" si="55"/>
        <v>808343.12</v>
      </c>
      <c r="J221" s="39">
        <f t="shared" si="55"/>
        <v>73856.88</v>
      </c>
      <c r="K221" s="22"/>
      <c r="L221" s="21"/>
      <c r="M221" s="22"/>
    </row>
    <row r="222" spans="1:13" s="31" customFormat="1" ht="39.950000000000003" customHeight="1" x14ac:dyDescent="0.3">
      <c r="A222" s="26" t="s">
        <v>63</v>
      </c>
      <c r="B222" s="26" t="s">
        <v>64</v>
      </c>
      <c r="C222" s="27" t="s">
        <v>65</v>
      </c>
      <c r="D222" s="28" t="s">
        <v>66</v>
      </c>
      <c r="E222" s="29" t="s">
        <v>67</v>
      </c>
      <c r="F222" s="29" t="s">
        <v>68</v>
      </c>
      <c r="G222" s="30" t="s">
        <v>69</v>
      </c>
      <c r="H222" s="30" t="s">
        <v>70</v>
      </c>
      <c r="I222" s="29" t="s">
        <v>71</v>
      </c>
      <c r="J222" s="29" t="s">
        <v>72</v>
      </c>
      <c r="K222" s="22"/>
      <c r="L222" s="21"/>
      <c r="M222" s="22"/>
    </row>
    <row r="223" spans="1:13" ht="48" customHeight="1" x14ac:dyDescent="0.3">
      <c r="A223" s="32" t="s">
        <v>221</v>
      </c>
      <c r="B223" s="33" t="s">
        <v>96</v>
      </c>
      <c r="C223" s="34" t="s">
        <v>99</v>
      </c>
      <c r="D223" s="35" t="s">
        <v>222</v>
      </c>
      <c r="E223" s="36">
        <v>20000</v>
      </c>
      <c r="F223" s="36">
        <v>0</v>
      </c>
      <c r="G223" s="37">
        <v>10000</v>
      </c>
      <c r="H223" s="37">
        <v>0</v>
      </c>
      <c r="I223" s="36">
        <v>0</v>
      </c>
      <c r="J223" s="36">
        <f>E223+F223-G223-I223</f>
        <v>10000</v>
      </c>
      <c r="K223" s="22"/>
      <c r="L223" s="21"/>
      <c r="M223" s="22"/>
    </row>
    <row r="224" spans="1:13" ht="62.25" customHeight="1" x14ac:dyDescent="0.3">
      <c r="A224" s="32" t="s">
        <v>221</v>
      </c>
      <c r="B224" s="33" t="s">
        <v>96</v>
      </c>
      <c r="C224" s="34" t="s">
        <v>99</v>
      </c>
      <c r="D224" s="35" t="s">
        <v>223</v>
      </c>
      <c r="E224" s="36">
        <v>50000</v>
      </c>
      <c r="F224" s="36">
        <v>0</v>
      </c>
      <c r="G224" s="37">
        <v>0</v>
      </c>
      <c r="H224" s="37">
        <v>0</v>
      </c>
      <c r="I224" s="36">
        <f>H224+42705</f>
        <v>42705</v>
      </c>
      <c r="J224" s="36">
        <f>E224+F224-G224-I224</f>
        <v>7295</v>
      </c>
      <c r="K224" s="22"/>
      <c r="L224" s="21"/>
      <c r="M224" s="22"/>
    </row>
    <row r="225" spans="1:13" ht="20.25" customHeight="1" x14ac:dyDescent="0.3">
      <c r="A225" s="48" t="s">
        <v>107</v>
      </c>
      <c r="B225" s="48"/>
      <c r="C225" s="48"/>
      <c r="D225" s="48"/>
      <c r="E225" s="39">
        <f t="shared" ref="E225:J225" si="56">SUM(E223:E224)</f>
        <v>70000</v>
      </c>
      <c r="F225" s="39">
        <f t="shared" si="56"/>
        <v>0</v>
      </c>
      <c r="G225" s="39">
        <f t="shared" si="56"/>
        <v>10000</v>
      </c>
      <c r="H225" s="39">
        <f t="shared" si="56"/>
        <v>0</v>
      </c>
      <c r="I225" s="39">
        <f t="shared" si="56"/>
        <v>42705</v>
      </c>
      <c r="J225" s="39">
        <f t="shared" si="56"/>
        <v>17295</v>
      </c>
      <c r="K225" s="22"/>
      <c r="L225" s="21"/>
      <c r="M225" s="22"/>
    </row>
    <row r="226" spans="1:13" ht="22.5" customHeight="1" x14ac:dyDescent="0.3">
      <c r="A226" s="32" t="s">
        <v>221</v>
      </c>
      <c r="B226" s="33" t="s">
        <v>108</v>
      </c>
      <c r="C226" s="34" t="s">
        <v>224</v>
      </c>
      <c r="D226" s="35"/>
      <c r="E226" s="36">
        <v>10000</v>
      </c>
      <c r="F226" s="36">
        <v>0</v>
      </c>
      <c r="G226" s="37">
        <v>9000</v>
      </c>
      <c r="H226" s="37">
        <v>0</v>
      </c>
      <c r="I226" s="36">
        <v>0</v>
      </c>
      <c r="J226" s="36">
        <f>E226+F226-G226-I226</f>
        <v>1000</v>
      </c>
      <c r="K226" s="22"/>
      <c r="L226" s="21"/>
      <c r="M226" s="22"/>
    </row>
    <row r="227" spans="1:13" ht="23.25" customHeight="1" x14ac:dyDescent="0.3">
      <c r="A227" s="48" t="s">
        <v>115</v>
      </c>
      <c r="B227" s="48"/>
      <c r="C227" s="48"/>
      <c r="D227" s="48"/>
      <c r="E227" s="39">
        <f t="shared" ref="E227:J227" si="57">E226</f>
        <v>10000</v>
      </c>
      <c r="F227" s="39">
        <f t="shared" si="57"/>
        <v>0</v>
      </c>
      <c r="G227" s="39">
        <f t="shared" si="57"/>
        <v>9000</v>
      </c>
      <c r="H227" s="39">
        <f t="shared" si="57"/>
        <v>0</v>
      </c>
      <c r="I227" s="39">
        <f t="shared" si="57"/>
        <v>0</v>
      </c>
      <c r="J227" s="39">
        <f t="shared" si="57"/>
        <v>1000</v>
      </c>
      <c r="K227" s="22"/>
      <c r="L227" s="21"/>
      <c r="M227" s="22"/>
    </row>
    <row r="228" spans="1:13" ht="23.25" customHeight="1" x14ac:dyDescent="0.3">
      <c r="A228" s="38" t="s">
        <v>225</v>
      </c>
      <c r="B228" s="38"/>
      <c r="C228" s="38"/>
      <c r="D228" s="38"/>
      <c r="E228" s="39">
        <f t="shared" ref="E228:J228" si="58">E225+E227</f>
        <v>80000</v>
      </c>
      <c r="F228" s="39">
        <f t="shared" si="58"/>
        <v>0</v>
      </c>
      <c r="G228" s="39">
        <f t="shared" si="58"/>
        <v>19000</v>
      </c>
      <c r="H228" s="39">
        <f t="shared" si="58"/>
        <v>0</v>
      </c>
      <c r="I228" s="39">
        <f t="shared" si="58"/>
        <v>42705</v>
      </c>
      <c r="J228" s="39">
        <f t="shared" si="58"/>
        <v>18295</v>
      </c>
      <c r="K228" s="22"/>
      <c r="L228" s="21"/>
      <c r="M228" s="22"/>
    </row>
    <row r="229" spans="1:13" ht="20.25" customHeight="1" x14ac:dyDescent="0.3">
      <c r="A229" s="32" t="s">
        <v>226</v>
      </c>
      <c r="B229" s="33" t="s">
        <v>226</v>
      </c>
      <c r="C229" s="34" t="s">
        <v>227</v>
      </c>
      <c r="D229" s="35"/>
      <c r="E229" s="36">
        <v>131330</v>
      </c>
      <c r="F229" s="36">
        <v>0</v>
      </c>
      <c r="G229" s="37">
        <v>0</v>
      </c>
      <c r="H229" s="37">
        <v>10089</v>
      </c>
      <c r="I229" s="36">
        <f>H229+10124+10089+10089+10089+10089+10089+10089+10089+10089+10089+10089</f>
        <v>121103</v>
      </c>
      <c r="J229" s="36">
        <f>E229+F229-G229-I229</f>
        <v>10227</v>
      </c>
      <c r="K229" s="22"/>
      <c r="L229" s="21"/>
      <c r="M229" s="22"/>
    </row>
    <row r="230" spans="1:13" ht="18.75" customHeight="1" x14ac:dyDescent="0.3">
      <c r="A230" s="32" t="s">
        <v>226</v>
      </c>
      <c r="B230" s="33" t="s">
        <v>226</v>
      </c>
      <c r="C230" s="34" t="s">
        <v>228</v>
      </c>
      <c r="D230" s="35"/>
      <c r="E230" s="36">
        <v>24000</v>
      </c>
      <c r="F230" s="36">
        <v>0</v>
      </c>
      <c r="G230" s="37">
        <v>0</v>
      </c>
      <c r="H230" s="37">
        <v>1500</v>
      </c>
      <c r="I230" s="36">
        <f>H230+2000+1000+1500+1500+1500+1500+1500+1500+1500+1500</f>
        <v>16500</v>
      </c>
      <c r="J230" s="36">
        <f>E230+F230-G230-I230</f>
        <v>7500</v>
      </c>
      <c r="K230" s="22"/>
      <c r="L230" s="21"/>
      <c r="M230" s="22"/>
    </row>
    <row r="231" spans="1:13" ht="21" customHeight="1" x14ac:dyDescent="0.3">
      <c r="A231" s="32" t="s">
        <v>226</v>
      </c>
      <c r="B231" s="33" t="s">
        <v>226</v>
      </c>
      <c r="C231" s="34" t="s">
        <v>229</v>
      </c>
      <c r="D231" s="35"/>
      <c r="E231" s="36">
        <v>650000</v>
      </c>
      <c r="F231" s="36">
        <v>0</v>
      </c>
      <c r="G231" s="37">
        <f>350000+150000</f>
        <v>500000</v>
      </c>
      <c r="H231" s="37">
        <v>0</v>
      </c>
      <c r="I231" s="36">
        <f>H231+9240+4070+30580+23745+11725</f>
        <v>79360</v>
      </c>
      <c r="J231" s="36">
        <f>E231+F231-G231-I231</f>
        <v>70640</v>
      </c>
      <c r="K231" s="22"/>
      <c r="L231" s="21"/>
      <c r="M231" s="22"/>
    </row>
    <row r="232" spans="1:13" ht="21.75" customHeight="1" x14ac:dyDescent="0.3">
      <c r="A232" s="32" t="s">
        <v>226</v>
      </c>
      <c r="B232" s="33" t="s">
        <v>226</v>
      </c>
      <c r="C232" s="34" t="s">
        <v>230</v>
      </c>
      <c r="D232" s="35"/>
      <c r="E232" s="36">
        <v>200000</v>
      </c>
      <c r="F232" s="36">
        <v>33700</v>
      </c>
      <c r="G232" s="37">
        <v>0</v>
      </c>
      <c r="H232" s="37"/>
      <c r="I232" s="36">
        <f>H232+133632+100000</f>
        <v>233632</v>
      </c>
      <c r="J232" s="36">
        <f>E232+F232-G232-I232</f>
        <v>68</v>
      </c>
      <c r="K232" s="22"/>
      <c r="L232" s="21"/>
      <c r="M232" s="22"/>
    </row>
    <row r="233" spans="1:13" ht="39.950000000000003" customHeight="1" x14ac:dyDescent="0.3">
      <c r="A233" s="32" t="s">
        <v>226</v>
      </c>
      <c r="B233" s="33" t="s">
        <v>226</v>
      </c>
      <c r="C233" s="34" t="s">
        <v>231</v>
      </c>
      <c r="D233" s="35"/>
      <c r="E233" s="36">
        <v>199220</v>
      </c>
      <c r="F233" s="36">
        <v>0</v>
      </c>
      <c r="G233" s="37">
        <v>0</v>
      </c>
      <c r="H233" s="37">
        <v>0</v>
      </c>
      <c r="I233" s="36">
        <f>H233+199220</f>
        <v>199220</v>
      </c>
      <c r="J233" s="36">
        <f>E233+F233-G233-I233</f>
        <v>0</v>
      </c>
      <c r="K233" s="22"/>
      <c r="L233" s="21"/>
      <c r="M233" s="22"/>
    </row>
    <row r="234" spans="1:13" ht="21" customHeight="1" x14ac:dyDescent="0.3">
      <c r="A234" s="48" t="s">
        <v>232</v>
      </c>
      <c r="B234" s="48"/>
      <c r="C234" s="48"/>
      <c r="D234" s="48"/>
      <c r="E234" s="39">
        <f t="shared" ref="E234:J234" si="59">SUM(E229:E233)</f>
        <v>1204550</v>
      </c>
      <c r="F234" s="39">
        <f t="shared" si="59"/>
        <v>33700</v>
      </c>
      <c r="G234" s="39">
        <f t="shared" si="59"/>
        <v>500000</v>
      </c>
      <c r="H234" s="39">
        <f t="shared" si="59"/>
        <v>11589</v>
      </c>
      <c r="I234" s="39">
        <f t="shared" si="59"/>
        <v>649815</v>
      </c>
      <c r="J234" s="39">
        <f t="shared" si="59"/>
        <v>88435</v>
      </c>
      <c r="K234" s="22"/>
      <c r="L234" s="21"/>
      <c r="M234" s="22"/>
    </row>
    <row r="235" spans="1:13" ht="22.5" customHeight="1" x14ac:dyDescent="0.3">
      <c r="A235" s="48" t="s">
        <v>233</v>
      </c>
      <c r="B235" s="48"/>
      <c r="C235" s="48"/>
      <c r="D235" s="48"/>
      <c r="E235" s="39">
        <f t="shared" ref="E235:J235" si="60">E234</f>
        <v>1204550</v>
      </c>
      <c r="F235" s="39">
        <f t="shared" si="60"/>
        <v>33700</v>
      </c>
      <c r="G235" s="39">
        <f t="shared" si="60"/>
        <v>500000</v>
      </c>
      <c r="H235" s="39">
        <f t="shared" si="60"/>
        <v>11589</v>
      </c>
      <c r="I235" s="39">
        <f t="shared" si="60"/>
        <v>649815</v>
      </c>
      <c r="J235" s="39">
        <f t="shared" si="60"/>
        <v>88435</v>
      </c>
      <c r="K235" s="22"/>
      <c r="L235" s="21"/>
      <c r="M235" s="22"/>
    </row>
    <row r="236" spans="1:13" ht="21" customHeight="1" x14ac:dyDescent="0.3">
      <c r="A236" s="48" t="s">
        <v>234</v>
      </c>
      <c r="B236" s="48"/>
      <c r="C236" s="48"/>
      <c r="D236" s="48"/>
      <c r="E236" s="39">
        <f t="shared" ref="E236:J236" si="61">E69+E93+E101+E130+E140+E148+E185+E190+E199+E212+E221+E228+E235</f>
        <v>32922000</v>
      </c>
      <c r="F236" s="39">
        <f t="shared" si="61"/>
        <v>3704690</v>
      </c>
      <c r="G236" s="39">
        <f t="shared" si="61"/>
        <v>3704690</v>
      </c>
      <c r="H236" s="39">
        <f t="shared" si="61"/>
        <v>3752032.55</v>
      </c>
      <c r="I236" s="39">
        <f t="shared" si="61"/>
        <v>26455622.060000002</v>
      </c>
      <c r="J236" s="39">
        <f t="shared" si="61"/>
        <v>6466377.9399999995</v>
      </c>
      <c r="K236" s="21"/>
      <c r="L236" s="21"/>
      <c r="M236" s="22"/>
    </row>
  </sheetData>
  <mergeCells count="61">
    <mergeCell ref="A236:D236"/>
    <mergeCell ref="A221:D221"/>
    <mergeCell ref="A225:D225"/>
    <mergeCell ref="A227:D227"/>
    <mergeCell ref="A228:D228"/>
    <mergeCell ref="A234:D234"/>
    <mergeCell ref="A235:D235"/>
    <mergeCell ref="A199:D199"/>
    <mergeCell ref="A208:D208"/>
    <mergeCell ref="A211:D211"/>
    <mergeCell ref="A212:D212"/>
    <mergeCell ref="A218:D218"/>
    <mergeCell ref="A220:D220"/>
    <mergeCell ref="A184:D184"/>
    <mergeCell ref="A185:D185"/>
    <mergeCell ref="A187:D187"/>
    <mergeCell ref="A189:D189"/>
    <mergeCell ref="A190:D190"/>
    <mergeCell ref="A198:D198"/>
    <mergeCell ref="A148:D148"/>
    <mergeCell ref="A154:D154"/>
    <mergeCell ref="A159:D159"/>
    <mergeCell ref="A163:D163"/>
    <mergeCell ref="A172:D172"/>
    <mergeCell ref="A182:D182"/>
    <mergeCell ref="A135:D135"/>
    <mergeCell ref="A139:D139"/>
    <mergeCell ref="A140:D140"/>
    <mergeCell ref="A143:D143"/>
    <mergeCell ref="A145:D145"/>
    <mergeCell ref="A147:D147"/>
    <mergeCell ref="A113:D113"/>
    <mergeCell ref="A118:D118"/>
    <mergeCell ref="A122:D122"/>
    <mergeCell ref="A129:D129"/>
    <mergeCell ref="A130:D130"/>
    <mergeCell ref="A133:D133"/>
    <mergeCell ref="A90:D90"/>
    <mergeCell ref="A92:D92"/>
    <mergeCell ref="A93:D93"/>
    <mergeCell ref="A100:D100"/>
    <mergeCell ref="A101:D101"/>
    <mergeCell ref="A106:D106"/>
    <mergeCell ref="A66:D66"/>
    <mergeCell ref="A68:D68"/>
    <mergeCell ref="A69:D69"/>
    <mergeCell ref="A74:D74"/>
    <mergeCell ref="A79:D79"/>
    <mergeCell ref="A87:D87"/>
    <mergeCell ref="A25:D25"/>
    <mergeCell ref="A36:D36"/>
    <mergeCell ref="A43:D43"/>
    <mergeCell ref="A48:D48"/>
    <mergeCell ref="A61:D61"/>
    <mergeCell ref="A64:D64"/>
    <mergeCell ref="A1:J1"/>
    <mergeCell ref="A2:J2"/>
    <mergeCell ref="A3:J3"/>
    <mergeCell ref="A4:J4"/>
    <mergeCell ref="A11:D11"/>
    <mergeCell ref="A20:D20"/>
  </mergeCells>
  <pageMargins left="0" right="0" top="0.47244094488188981" bottom="0.47244094488188981" header="0.47244094488188981" footer="0.4724409448818898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รายรับจริงไตรมาส 4</vt:lpstr>
      <vt:lpstr>รายจ่ายไตรมาส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2017-07-02T09:44:19Z</dcterms:created>
  <dcterms:modified xsi:type="dcterms:W3CDTF">2017-07-02T09:45:32Z</dcterms:modified>
</cp:coreProperties>
</file>